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745"/>
  </bookViews>
  <sheets>
    <sheet name="analyse comparatif PH graphique" sheetId="3" r:id="rId1"/>
    <sheet name="details calculs comparatif PH" sheetId="2" r:id="rId2"/>
  </sheets>
  <calcPr calcId="152511"/>
</workbook>
</file>

<file path=xl/calcChain.xml><?xml version="1.0" encoding="utf-8"?>
<calcChain xmlns="http://schemas.openxmlformats.org/spreadsheetml/2006/main">
  <c r="G236" i="2" l="1"/>
  <c r="G221" i="2"/>
  <c r="G161" i="2" l="1"/>
  <c r="D20" i="2"/>
  <c r="E20" i="2"/>
  <c r="C20" i="2"/>
  <c r="G145" i="2"/>
  <c r="G143" i="2"/>
  <c r="F143" i="2"/>
  <c r="C143" i="2"/>
  <c r="D143" i="2"/>
  <c r="E143" i="2"/>
  <c r="E150" i="2"/>
  <c r="G129" i="2" l="1"/>
  <c r="G114" i="2"/>
  <c r="G99" i="2"/>
  <c r="G84" i="2"/>
  <c r="G69" i="2"/>
  <c r="G54" i="2"/>
  <c r="G39" i="2"/>
  <c r="G25" i="2"/>
  <c r="G249" i="2" l="1"/>
  <c r="E134" i="2"/>
  <c r="G127" i="2"/>
  <c r="F127" i="2"/>
  <c r="E127" i="2"/>
  <c r="D127" i="2"/>
  <c r="C127" i="2"/>
  <c r="E119" i="2"/>
  <c r="G112" i="2"/>
  <c r="F112" i="2"/>
  <c r="E112" i="2"/>
  <c r="D112" i="2"/>
  <c r="C112" i="2"/>
  <c r="D30" i="2"/>
  <c r="E104" i="2"/>
  <c r="G97" i="2"/>
  <c r="F97" i="2"/>
  <c r="E97" i="2"/>
  <c r="D97" i="2"/>
  <c r="C97" i="2"/>
  <c r="E89" i="2"/>
  <c r="G82" i="2"/>
  <c r="F82" i="2"/>
  <c r="E82" i="2"/>
  <c r="D82" i="2"/>
  <c r="C82" i="2"/>
  <c r="G67" i="2"/>
  <c r="F67" i="2"/>
  <c r="E67" i="2"/>
  <c r="D67" i="2"/>
  <c r="C67" i="2"/>
  <c r="G52" i="2"/>
  <c r="F52" i="2"/>
  <c r="E52" i="2"/>
  <c r="C52" i="2"/>
  <c r="D52" i="2"/>
  <c r="E59" i="2"/>
  <c r="E44" i="2"/>
  <c r="G23" i="2"/>
  <c r="G251" i="2" l="1"/>
  <c r="I53" i="3"/>
  <c r="I54" i="3" s="1"/>
  <c r="D33" i="2"/>
  <c r="D21" i="2"/>
  <c r="E74" i="2"/>
  <c r="E29" i="2"/>
  <c r="G206" i="2" l="1"/>
  <c r="G176" i="2"/>
  <c r="G191" i="2"/>
  <c r="D28" i="2"/>
  <c r="D31" i="2" s="1"/>
  <c r="D32" i="2" s="1"/>
  <c r="D34" i="2"/>
  <c r="D35" i="2" s="1"/>
  <c r="D48" i="2"/>
  <c r="D36" i="2"/>
  <c r="F18" i="2"/>
  <c r="F19" i="2" s="1"/>
  <c r="F20" i="2" s="1"/>
  <c r="G18" i="2"/>
  <c r="G19" i="2" s="1"/>
  <c r="C21" i="2"/>
  <c r="E21" i="2" s="1"/>
  <c r="G53" i="2"/>
  <c r="G68" i="2" s="1"/>
  <c r="G83" i="2" s="1"/>
  <c r="G20" i="2" l="1"/>
  <c r="G26" i="2"/>
  <c r="C28" i="2"/>
  <c r="C30" i="2" s="1"/>
  <c r="C31" i="2" s="1"/>
  <c r="C32" i="2" s="1"/>
  <c r="E28" i="2"/>
  <c r="E30" i="2" s="1"/>
  <c r="E31" i="2" s="1"/>
  <c r="E32" i="2" s="1"/>
  <c r="D51" i="2"/>
  <c r="D63" i="2"/>
  <c r="D49" i="2"/>
  <c r="D50" i="2" s="1"/>
  <c r="D43" i="2"/>
  <c r="D45" i="2"/>
  <c r="F30" i="2"/>
  <c r="F83" i="2"/>
  <c r="G98" i="2"/>
  <c r="G21" i="2"/>
  <c r="G28" i="2" s="1"/>
  <c r="F21" i="2"/>
  <c r="F28" i="2" s="1"/>
  <c r="F68" i="2"/>
  <c r="G31" i="2" l="1"/>
  <c r="G113" i="2"/>
  <c r="F98" i="2"/>
  <c r="D46" i="2"/>
  <c r="D47" i="2" s="1"/>
  <c r="G27" i="2"/>
  <c r="G40" i="2" s="1"/>
  <c r="F31" i="2"/>
  <c r="F32" i="2" s="1"/>
  <c r="G32" i="2"/>
  <c r="D58" i="2"/>
  <c r="D60" i="2"/>
  <c r="D64" i="2"/>
  <c r="D65" i="2" s="1"/>
  <c r="D78" i="2"/>
  <c r="D66" i="2"/>
  <c r="E33" i="2"/>
  <c r="F33" i="2"/>
  <c r="G33" i="2"/>
  <c r="C33" i="2"/>
  <c r="D61" i="2" l="1"/>
  <c r="D62" i="2" s="1"/>
  <c r="F113" i="2"/>
  <c r="G128" i="2"/>
  <c r="G144" i="2" s="1"/>
  <c r="F144" i="2" s="1"/>
  <c r="G34" i="2"/>
  <c r="G48" i="2"/>
  <c r="E34" i="2"/>
  <c r="E35" i="2" s="1"/>
  <c r="E48" i="2"/>
  <c r="D93" i="2"/>
  <c r="D79" i="2"/>
  <c r="D80" i="2" s="1"/>
  <c r="D81" i="2"/>
  <c r="C48" i="2"/>
  <c r="C34" i="2"/>
  <c r="C35" i="2" s="1"/>
  <c r="D75" i="2"/>
  <c r="D73" i="2"/>
  <c r="F34" i="2"/>
  <c r="F35" i="2" s="1"/>
  <c r="F48" i="2"/>
  <c r="C36" i="2"/>
  <c r="G36" i="2" s="1"/>
  <c r="G35" i="2" l="1"/>
  <c r="G41" i="2" s="1"/>
  <c r="G42" i="2" s="1"/>
  <c r="G55" i="2" s="1"/>
  <c r="D76" i="2"/>
  <c r="D77" i="2" s="1"/>
  <c r="F128" i="2"/>
  <c r="F49" i="2"/>
  <c r="F50" i="2" s="1"/>
  <c r="F63" i="2"/>
  <c r="D88" i="2"/>
  <c r="D90" i="2"/>
  <c r="G49" i="2"/>
  <c r="G63" i="2"/>
  <c r="C43" i="2"/>
  <c r="C45" i="2" s="1"/>
  <c r="C46" i="2" s="1"/>
  <c r="D108" i="2"/>
  <c r="D123" i="2" s="1"/>
  <c r="D139" i="2" s="1"/>
  <c r="D96" i="2"/>
  <c r="D94" i="2"/>
  <c r="D95" i="2" s="1"/>
  <c r="F45" i="2"/>
  <c r="C63" i="2"/>
  <c r="C49" i="2"/>
  <c r="C50" i="2" s="1"/>
  <c r="C51" i="2"/>
  <c r="E49" i="2"/>
  <c r="E50" i="2" s="1"/>
  <c r="E63" i="2"/>
  <c r="F75" i="2"/>
  <c r="F36" i="2"/>
  <c r="F43" i="2" s="1"/>
  <c r="E36" i="2"/>
  <c r="E43" i="2" s="1"/>
  <c r="E45" i="2" s="1"/>
  <c r="E46" i="2" s="1"/>
  <c r="F46" i="2" l="1"/>
  <c r="G50" i="2"/>
  <c r="G56" i="2"/>
  <c r="G57" i="2" s="1"/>
  <c r="D138" i="2"/>
  <c r="D140" i="2"/>
  <c r="D142" i="2"/>
  <c r="E138" i="2"/>
  <c r="D124" i="2"/>
  <c r="D125" i="2" s="1"/>
  <c r="D126" i="2"/>
  <c r="G160" i="2"/>
  <c r="G175" i="2" s="1"/>
  <c r="D91" i="2"/>
  <c r="D92" i="2" s="1"/>
  <c r="C58" i="2"/>
  <c r="C60" i="2" s="1"/>
  <c r="C61" i="2" s="1"/>
  <c r="C62" i="2" s="1"/>
  <c r="D105" i="2"/>
  <c r="D103" i="2"/>
  <c r="G64" i="2"/>
  <c r="G78" i="2"/>
  <c r="F47" i="2"/>
  <c r="E64" i="2"/>
  <c r="E65" i="2" s="1"/>
  <c r="E78" i="2"/>
  <c r="C64" i="2"/>
  <c r="C65" i="2" s="1"/>
  <c r="C78" i="2"/>
  <c r="C66" i="2"/>
  <c r="F64" i="2"/>
  <c r="F65" i="2" s="1"/>
  <c r="F78" i="2"/>
  <c r="G43" i="2"/>
  <c r="G46" i="2" s="1"/>
  <c r="D111" i="2"/>
  <c r="D159" i="2" s="1"/>
  <c r="D109" i="2"/>
  <c r="D110" i="2" s="1"/>
  <c r="F60" i="2"/>
  <c r="F51" i="2"/>
  <c r="G51" i="2"/>
  <c r="E51" i="2"/>
  <c r="E58" i="2" s="1"/>
  <c r="E60" i="2" s="1"/>
  <c r="E61" i="2" s="1"/>
  <c r="E62" i="2" s="1"/>
  <c r="C47" i="2"/>
  <c r="G65" i="2" l="1"/>
  <c r="G71" i="2" s="1"/>
  <c r="G72" i="2" s="1"/>
  <c r="D151" i="2"/>
  <c r="D141" i="2"/>
  <c r="D149" i="2" s="1"/>
  <c r="D152" i="2" s="1"/>
  <c r="D174" i="2"/>
  <c r="D189" i="2" s="1"/>
  <c r="D204" i="2" s="1"/>
  <c r="D219" i="2" s="1"/>
  <c r="D234" i="2" s="1"/>
  <c r="G190" i="2"/>
  <c r="F175" i="2"/>
  <c r="D135" i="2"/>
  <c r="D133" i="2"/>
  <c r="G58" i="2"/>
  <c r="G61" i="2" s="1"/>
  <c r="G62" i="2" s="1"/>
  <c r="C93" i="2"/>
  <c r="C79" i="2"/>
  <c r="C80" i="2" s="1"/>
  <c r="C81" i="2"/>
  <c r="C73" i="2"/>
  <c r="C75" i="2" s="1"/>
  <c r="G93" i="2"/>
  <c r="G79" i="2"/>
  <c r="F58" i="2"/>
  <c r="F61" i="2" s="1"/>
  <c r="F62" i="2" s="1"/>
  <c r="G70" i="2"/>
  <c r="E79" i="2"/>
  <c r="E80" i="2" s="1"/>
  <c r="E93" i="2"/>
  <c r="D120" i="2"/>
  <c r="D118" i="2"/>
  <c r="F90" i="2"/>
  <c r="F93" i="2"/>
  <c r="F79" i="2"/>
  <c r="F80" i="2" s="1"/>
  <c r="G66" i="2"/>
  <c r="G73" i="2" s="1"/>
  <c r="G76" i="2" s="1"/>
  <c r="G77" i="2" s="1"/>
  <c r="E66" i="2"/>
  <c r="F66" i="2"/>
  <c r="F73" i="2" s="1"/>
  <c r="F76" i="2" s="1"/>
  <c r="F77" i="2" s="1"/>
  <c r="E73" i="2"/>
  <c r="E75" i="2" s="1"/>
  <c r="E76" i="2" s="1"/>
  <c r="E77" i="2" s="1"/>
  <c r="D106" i="2"/>
  <c r="D107" i="2" s="1"/>
  <c r="E47" i="2"/>
  <c r="G80" i="2" l="1"/>
  <c r="D136" i="2"/>
  <c r="D137" i="2" s="1"/>
  <c r="F190" i="2"/>
  <c r="G205" i="2"/>
  <c r="D121" i="2"/>
  <c r="D122" i="2" s="1"/>
  <c r="G94" i="2"/>
  <c r="G95" i="2" s="1"/>
  <c r="G108" i="2"/>
  <c r="C88" i="2"/>
  <c r="C90" i="2" s="1"/>
  <c r="C91" i="2" s="1"/>
  <c r="C92" i="2" s="1"/>
  <c r="G85" i="2"/>
  <c r="C94" i="2"/>
  <c r="C95" i="2" s="1"/>
  <c r="C108" i="2"/>
  <c r="C123" i="2" s="1"/>
  <c r="C139" i="2" s="1"/>
  <c r="C96" i="2"/>
  <c r="F94" i="2"/>
  <c r="F95" i="2" s="1"/>
  <c r="F108" i="2"/>
  <c r="F123" i="2" s="1"/>
  <c r="F139" i="2" s="1"/>
  <c r="E94" i="2"/>
  <c r="E95" i="2" s="1"/>
  <c r="E108" i="2"/>
  <c r="G81" i="2"/>
  <c r="G88" i="2" s="1"/>
  <c r="G91" i="2" s="1"/>
  <c r="G92" i="2" s="1"/>
  <c r="F81" i="2"/>
  <c r="E81" i="2"/>
  <c r="E88" i="2" s="1"/>
  <c r="E90" i="2" s="1"/>
  <c r="E91" i="2" s="1"/>
  <c r="E92" i="2" s="1"/>
  <c r="C76" i="2"/>
  <c r="C77" i="2" s="1"/>
  <c r="F160" i="2"/>
  <c r="G86" i="2" l="1"/>
  <c r="G87" i="2" s="1"/>
  <c r="C138" i="2"/>
  <c r="D153" i="2" s="1"/>
  <c r="C140" i="2"/>
  <c r="C142" i="2"/>
  <c r="F151" i="2"/>
  <c r="F140" i="2"/>
  <c r="C124" i="2"/>
  <c r="C125" i="2" s="1"/>
  <c r="C126" i="2"/>
  <c r="F205" i="2"/>
  <c r="G220" i="2"/>
  <c r="E109" i="2"/>
  <c r="E110" i="2" s="1"/>
  <c r="E123" i="2"/>
  <c r="E139" i="2" s="1"/>
  <c r="E140" i="2" s="1"/>
  <c r="G109" i="2"/>
  <c r="G110" i="2" s="1"/>
  <c r="G123" i="2"/>
  <c r="G139" i="2" s="1"/>
  <c r="G140" i="2" s="1"/>
  <c r="F135" i="2"/>
  <c r="F124" i="2"/>
  <c r="F125" i="2" s="1"/>
  <c r="G100" i="2"/>
  <c r="G101" i="2" s="1"/>
  <c r="F120" i="2"/>
  <c r="F109" i="2"/>
  <c r="F110" i="2" s="1"/>
  <c r="E96" i="2"/>
  <c r="G96" i="2"/>
  <c r="F96" i="2"/>
  <c r="F103" i="2" s="1"/>
  <c r="C109" i="2"/>
  <c r="C110" i="2" s="1"/>
  <c r="C111" i="2"/>
  <c r="F88" i="2"/>
  <c r="F91" i="2" s="1"/>
  <c r="F92" i="2" s="1"/>
  <c r="C103" i="2"/>
  <c r="D155" i="2"/>
  <c r="D156" i="2" s="1"/>
  <c r="D157" i="2" s="1"/>
  <c r="F105" i="2"/>
  <c r="E103" i="2"/>
  <c r="E105" i="2" s="1"/>
  <c r="E106" i="2" s="1"/>
  <c r="E107" i="2" s="1"/>
  <c r="E141" i="2" l="1"/>
  <c r="E142" i="2"/>
  <c r="F142" i="2"/>
  <c r="G142" i="2"/>
  <c r="C141" i="2"/>
  <c r="C149" i="2" s="1"/>
  <c r="G141" i="2"/>
  <c r="F141" i="2"/>
  <c r="D167" i="2"/>
  <c r="E124" i="2"/>
  <c r="E125" i="2" s="1"/>
  <c r="C133" i="2"/>
  <c r="C135" i="2" s="1"/>
  <c r="C136" i="2" s="1"/>
  <c r="C137" i="2" s="1"/>
  <c r="F126" i="2"/>
  <c r="F133" i="2" s="1"/>
  <c r="F136" i="2" s="1"/>
  <c r="F137" i="2" s="1"/>
  <c r="E126" i="2"/>
  <c r="E133" i="2" s="1"/>
  <c r="E135" i="2" s="1"/>
  <c r="E136" i="2" s="1"/>
  <c r="E137" i="2" s="1"/>
  <c r="G126" i="2"/>
  <c r="G235" i="2"/>
  <c r="F220" i="2"/>
  <c r="G124" i="2"/>
  <c r="G125" i="2" s="1"/>
  <c r="G102" i="2"/>
  <c r="G115" i="2" s="1"/>
  <c r="F106" i="2"/>
  <c r="F107" i="2" s="1"/>
  <c r="G103" i="2"/>
  <c r="G106" i="2" s="1"/>
  <c r="G107" i="2" s="1"/>
  <c r="D170" i="2"/>
  <c r="D158" i="2"/>
  <c r="C118" i="2"/>
  <c r="C159" i="2"/>
  <c r="E111" i="2"/>
  <c r="F111" i="2"/>
  <c r="G111" i="2"/>
  <c r="C105" i="2"/>
  <c r="C106" i="2" s="1"/>
  <c r="C107" i="2" s="1"/>
  <c r="G116" i="2" l="1"/>
  <c r="G117" i="2" s="1"/>
  <c r="E149" i="2"/>
  <c r="E151" i="2" s="1"/>
  <c r="E152" i="2" s="1"/>
  <c r="E153" i="2" s="1"/>
  <c r="F235" i="2"/>
  <c r="F149" i="2"/>
  <c r="F152" i="2" s="1"/>
  <c r="F153" i="2" s="1"/>
  <c r="C151" i="2"/>
  <c r="C152" i="2" s="1"/>
  <c r="C153" i="2" s="1"/>
  <c r="G149" i="2"/>
  <c r="D165" i="2"/>
  <c r="D168" i="2" s="1"/>
  <c r="D169" i="2" s="1"/>
  <c r="C174" i="2"/>
  <c r="C189" i="2" s="1"/>
  <c r="C204" i="2" s="1"/>
  <c r="C219" i="2" s="1"/>
  <c r="C234" i="2" s="1"/>
  <c r="D171" i="2"/>
  <c r="D172" i="2" s="1"/>
  <c r="D185" i="2"/>
  <c r="D186" i="2" s="1"/>
  <c r="D187" i="2" s="1"/>
  <c r="D173" i="2"/>
  <c r="G133" i="2"/>
  <c r="G159" i="2"/>
  <c r="G118" i="2"/>
  <c r="G121" i="2" s="1"/>
  <c r="G122" i="2" s="1"/>
  <c r="C120" i="2"/>
  <c r="C121" i="2" s="1"/>
  <c r="C122" i="2" s="1"/>
  <c r="F118" i="2"/>
  <c r="F121" i="2" s="1"/>
  <c r="F122" i="2" s="1"/>
  <c r="F159" i="2"/>
  <c r="E118" i="2"/>
  <c r="E120" i="2" s="1"/>
  <c r="E121" i="2" s="1"/>
  <c r="E122" i="2" s="1"/>
  <c r="E159" i="2"/>
  <c r="E174" i="2" l="1"/>
  <c r="E189" i="2" s="1"/>
  <c r="E204" i="2" s="1"/>
  <c r="E219" i="2" s="1"/>
  <c r="E234" i="2" s="1"/>
  <c r="D180" i="2"/>
  <c r="D182" i="2"/>
  <c r="F174" i="2"/>
  <c r="F189" i="2" s="1"/>
  <c r="F204" i="2" s="1"/>
  <c r="F219" i="2" s="1"/>
  <c r="F234" i="2" s="1"/>
  <c r="G174" i="2"/>
  <c r="G189" i="2" s="1"/>
  <c r="G204" i="2" s="1"/>
  <c r="G219" i="2" s="1"/>
  <c r="G234" i="2" s="1"/>
  <c r="D188" i="2"/>
  <c r="D200" i="2"/>
  <c r="G130" i="2"/>
  <c r="G131" i="2" s="1"/>
  <c r="G132" i="2" s="1"/>
  <c r="G135" i="2" l="1"/>
  <c r="G136" i="2" s="1"/>
  <c r="G137" i="2" s="1"/>
  <c r="D183" i="2"/>
  <c r="D184" i="2" s="1"/>
  <c r="D195" i="2"/>
  <c r="D197" i="2"/>
  <c r="D203" i="2"/>
  <c r="D215" i="2"/>
  <c r="D201" i="2"/>
  <c r="D202" i="2" s="1"/>
  <c r="F155" i="2"/>
  <c r="F156" i="2" s="1"/>
  <c r="F157" i="2" s="1"/>
  <c r="G155" i="2"/>
  <c r="G156" i="2" s="1"/>
  <c r="G157" i="2" s="1"/>
  <c r="C155" i="2"/>
  <c r="C156" i="2" s="1"/>
  <c r="C157" i="2" s="1"/>
  <c r="E155" i="2"/>
  <c r="E156" i="2" s="1"/>
  <c r="E157" i="2" s="1"/>
  <c r="G146" i="2" l="1"/>
  <c r="G147" i="2" s="1"/>
  <c r="G148" i="2" s="1"/>
  <c r="D216" i="2"/>
  <c r="D217" i="2" s="1"/>
  <c r="D230" i="2"/>
  <c r="D212" i="2"/>
  <c r="D210" i="2"/>
  <c r="D198" i="2"/>
  <c r="D199" i="2" s="1"/>
  <c r="F167" i="2"/>
  <c r="E170" i="2"/>
  <c r="C158" i="2"/>
  <c r="C170" i="2"/>
  <c r="F170" i="2"/>
  <c r="F171" i="2" s="1"/>
  <c r="F172" i="2" s="1"/>
  <c r="D218" i="2"/>
  <c r="G170" i="2"/>
  <c r="G171" i="2" s="1"/>
  <c r="G172" i="2" s="1"/>
  <c r="G151" i="2" l="1"/>
  <c r="G152" i="2" s="1"/>
  <c r="G153" i="2" s="1"/>
  <c r="G162" i="2"/>
  <c r="C165" i="2"/>
  <c r="C167" i="2" s="1"/>
  <c r="C168" i="2" s="1"/>
  <c r="C169" i="2" s="1"/>
  <c r="D213" i="2"/>
  <c r="D214" i="2" s="1"/>
  <c r="D227" i="2"/>
  <c r="D225" i="2"/>
  <c r="C185" i="2"/>
  <c r="C186" i="2" s="1"/>
  <c r="C187" i="2" s="1"/>
  <c r="C173" i="2"/>
  <c r="C171" i="2"/>
  <c r="C172" i="2" s="1"/>
  <c r="D233" i="2"/>
  <c r="D231" i="2"/>
  <c r="D232" i="2" s="1"/>
  <c r="E185" i="2"/>
  <c r="E186" i="2" s="1"/>
  <c r="E187" i="2" s="1"/>
  <c r="E171" i="2"/>
  <c r="E172" i="2" s="1"/>
  <c r="G185" i="2"/>
  <c r="G186" i="2" s="1"/>
  <c r="G187" i="2" s="1"/>
  <c r="F185" i="2"/>
  <c r="F186" i="2" s="1"/>
  <c r="F187" i="2" s="1"/>
  <c r="G158" i="2"/>
  <c r="G165" i="2" s="1"/>
  <c r="E158" i="2"/>
  <c r="E165" i="2" s="1"/>
  <c r="E167" i="2" s="1"/>
  <c r="E168" i="2" s="1"/>
  <c r="E169" i="2" s="1"/>
  <c r="F158" i="2"/>
  <c r="F165" i="2" s="1"/>
  <c r="F168" i="2" s="1"/>
  <c r="F169" i="2" s="1"/>
  <c r="G163" i="2" l="1"/>
  <c r="G164" i="2" s="1"/>
  <c r="G177" i="2" s="1"/>
  <c r="G167" i="2"/>
  <c r="G168" i="2" s="1"/>
  <c r="G169" i="2" s="1"/>
  <c r="G173" i="2"/>
  <c r="G180" i="2" s="1"/>
  <c r="E173" i="2"/>
  <c r="F173" i="2"/>
  <c r="F180" i="2" s="1"/>
  <c r="D242" i="2"/>
  <c r="D240" i="2"/>
  <c r="C200" i="2"/>
  <c r="C188" i="2"/>
  <c r="D228" i="2"/>
  <c r="D229" i="2" s="1"/>
  <c r="E180" i="2"/>
  <c r="E182" i="2" s="1"/>
  <c r="E183" i="2" s="1"/>
  <c r="E184" i="2" s="1"/>
  <c r="E200" i="2"/>
  <c r="C180" i="2"/>
  <c r="C182" i="2" s="1"/>
  <c r="C183" i="2" s="1"/>
  <c r="C184" i="2" s="1"/>
  <c r="F182" i="2"/>
  <c r="G200" i="2"/>
  <c r="F200" i="2"/>
  <c r="G178" i="2" l="1"/>
  <c r="G179" i="2" s="1"/>
  <c r="F183" i="2"/>
  <c r="F184" i="2" s="1"/>
  <c r="E188" i="2"/>
  <c r="G188" i="2"/>
  <c r="G195" i="2" s="1"/>
  <c r="F188" i="2"/>
  <c r="E215" i="2"/>
  <c r="E201" i="2"/>
  <c r="E202" i="2" s="1"/>
  <c r="C201" i="2"/>
  <c r="C202" i="2" s="1"/>
  <c r="C203" i="2"/>
  <c r="C215" i="2"/>
  <c r="C218" i="2" s="1"/>
  <c r="C195" i="2"/>
  <c r="C197" i="2" s="1"/>
  <c r="C198" i="2" s="1"/>
  <c r="C199" i="2" s="1"/>
  <c r="D243" i="2"/>
  <c r="D244" i="2" s="1"/>
  <c r="G215" i="2"/>
  <c r="G230" i="2" s="1"/>
  <c r="G231" i="2" s="1"/>
  <c r="G201" i="2"/>
  <c r="G202" i="2" s="1"/>
  <c r="F201" i="2"/>
  <c r="F202" i="2" s="1"/>
  <c r="F215" i="2"/>
  <c r="G192" i="2"/>
  <c r="G193" i="2" s="1"/>
  <c r="G194" i="2" s="1"/>
  <c r="F197" i="2"/>
  <c r="F195" i="2"/>
  <c r="G182" i="2" l="1"/>
  <c r="G183" i="2" s="1"/>
  <c r="G184" i="2" s="1"/>
  <c r="G197" i="2"/>
  <c r="G198" i="2" s="1"/>
  <c r="G199" i="2" s="1"/>
  <c r="G207" i="2"/>
  <c r="G208" i="2" s="1"/>
  <c r="G209" i="2" s="1"/>
  <c r="E195" i="2"/>
  <c r="E197" i="2" s="1"/>
  <c r="E198" i="2" s="1"/>
  <c r="E199" i="2" s="1"/>
  <c r="F198" i="2"/>
  <c r="F199" i="2" s="1"/>
  <c r="D245" i="2"/>
  <c r="C216" i="2"/>
  <c r="C230" i="2"/>
  <c r="C210" i="2"/>
  <c r="C212" i="2" s="1"/>
  <c r="C213" i="2" s="1"/>
  <c r="C214" i="2" s="1"/>
  <c r="E216" i="2"/>
  <c r="E217" i="2" s="1"/>
  <c r="E230" i="2"/>
  <c r="E231" i="2" s="1"/>
  <c r="E232" i="2" s="1"/>
  <c r="E203" i="2"/>
  <c r="F203" i="2"/>
  <c r="G203" i="2"/>
  <c r="F216" i="2"/>
  <c r="F217" i="2" s="1"/>
  <c r="F230" i="2"/>
  <c r="F231" i="2" s="1"/>
  <c r="F232" i="2" s="1"/>
  <c r="F212" i="2"/>
  <c r="G216" i="2"/>
  <c r="G232" i="2"/>
  <c r="G218" i="2"/>
  <c r="F218" i="2"/>
  <c r="E218" i="2"/>
  <c r="G217" i="2" l="1"/>
  <c r="G225" i="2" s="1"/>
  <c r="D246" i="2"/>
  <c r="F9" i="3" s="1"/>
  <c r="F8" i="3"/>
  <c r="C217" i="2"/>
  <c r="C225" i="2" s="1"/>
  <c r="C227" i="2" s="1"/>
  <c r="C228" i="2" s="1"/>
  <c r="C229" i="2" s="1"/>
  <c r="E210" i="2"/>
  <c r="E212" i="2" s="1"/>
  <c r="E213" i="2" s="1"/>
  <c r="E214" i="2" s="1"/>
  <c r="G222" i="2"/>
  <c r="F210" i="2"/>
  <c r="F213" i="2" s="1"/>
  <c r="F214" i="2" s="1"/>
  <c r="C233" i="2"/>
  <c r="C231" i="2"/>
  <c r="C232" i="2" s="1"/>
  <c r="E225" i="2"/>
  <c r="E227" i="2" s="1"/>
  <c r="E228" i="2" s="1"/>
  <c r="E229" i="2" s="1"/>
  <c r="G210" i="2"/>
  <c r="G212" i="2" s="1"/>
  <c r="G213" i="2" s="1"/>
  <c r="G214" i="2" s="1"/>
  <c r="F242" i="2"/>
  <c r="F225" i="2"/>
  <c r="F227" i="2"/>
  <c r="G223" i="2" l="1"/>
  <c r="E233" i="2"/>
  <c r="E240" i="2" s="1"/>
  <c r="E242" i="2" s="1"/>
  <c r="E243" i="2" s="1"/>
  <c r="E244" i="2" s="1"/>
  <c r="G233" i="2"/>
  <c r="G240" i="2" s="1"/>
  <c r="F233" i="2"/>
  <c r="F240" i="2" s="1"/>
  <c r="F243" i="2" s="1"/>
  <c r="C240" i="2"/>
  <c r="C242" i="2" s="1"/>
  <c r="C243" i="2" s="1"/>
  <c r="C244" i="2" s="1"/>
  <c r="F228" i="2"/>
  <c r="F229" i="2" s="1"/>
  <c r="G47" i="2"/>
  <c r="G224" i="2" l="1"/>
  <c r="G237" i="2" s="1"/>
  <c r="G238" i="2" s="1"/>
  <c r="G227" i="2"/>
  <c r="G228" i="2" s="1"/>
  <c r="G229" i="2" s="1"/>
  <c r="E245" i="2"/>
  <c r="C245" i="2"/>
  <c r="F244" i="2"/>
  <c r="F245" i="2"/>
  <c r="G239" i="2" l="1"/>
  <c r="G242" i="2"/>
  <c r="G243" i="2" s="1"/>
  <c r="E246" i="2"/>
  <c r="G9" i="3" s="1"/>
  <c r="G8" i="3"/>
  <c r="C246" i="2"/>
  <c r="E9" i="3" s="1"/>
  <c r="E8" i="3"/>
  <c r="F246" i="2"/>
  <c r="H9" i="3" s="1"/>
  <c r="H8" i="3"/>
  <c r="G244" i="2" l="1"/>
  <c r="G245" i="2"/>
  <c r="G246" i="2" l="1"/>
  <c r="I9" i="3" s="1"/>
  <c r="I8" i="3"/>
</calcChain>
</file>

<file path=xl/sharedStrings.xml><?xml version="1.0" encoding="utf-8"?>
<sst xmlns="http://schemas.openxmlformats.org/spreadsheetml/2006/main" count="338" uniqueCount="92">
  <si>
    <t xml:space="preserve">Hypothèses : </t>
  </si>
  <si>
    <t xml:space="preserve">Détails </t>
  </si>
  <si>
    <t xml:space="preserve">Achat comptant, pas intérêts intercalaires </t>
  </si>
  <si>
    <t>Tranche marginale imposition 30%</t>
  </si>
  <si>
    <t>Frais notaire 2,5%</t>
  </si>
  <si>
    <t>Location Libre</t>
  </si>
  <si>
    <t>Loyer brut</t>
  </si>
  <si>
    <t>ANNEE 1</t>
  </si>
  <si>
    <t xml:space="preserve">Gestion </t>
  </si>
  <si>
    <t>Copro</t>
  </si>
  <si>
    <t>Taxe foncière</t>
  </si>
  <si>
    <t>taxe foncière (exo ans 1&amp;2)</t>
  </si>
  <si>
    <t>Frais acte</t>
  </si>
  <si>
    <t>Amortiss maxi</t>
  </si>
  <si>
    <t>IR30+PS 15,5</t>
  </si>
  <si>
    <t>Réduction IR</t>
  </si>
  <si>
    <t>Après IR</t>
  </si>
  <si>
    <t>Amort utilisé</t>
  </si>
  <si>
    <t>Amort reporté</t>
  </si>
  <si>
    <t>ANNEE 2</t>
  </si>
  <si>
    <t>ANNEE 3</t>
  </si>
  <si>
    <t>TFPB /12</t>
  </si>
  <si>
    <t>ANNEE 4</t>
  </si>
  <si>
    <t>ANNEE 5</t>
  </si>
  <si>
    <t>ANNEE 6</t>
  </si>
  <si>
    <t>ANNEE 7</t>
  </si>
  <si>
    <t>ANNEE 8</t>
  </si>
  <si>
    <t>ANNEE 9</t>
  </si>
  <si>
    <t>Résultat brut</t>
  </si>
  <si>
    <t>ANNEE 10</t>
  </si>
  <si>
    <t>Charges copro restant bailleur</t>
  </si>
  <si>
    <t>yc parking</t>
  </si>
  <si>
    <t xml:space="preserve">42,2m² + terrasse 6m² </t>
  </si>
  <si>
    <t>soit 45 m² pondérés</t>
  </si>
  <si>
    <t>Loyer marché en location vide yc parking</t>
  </si>
  <si>
    <t>NA</t>
  </si>
  <si>
    <t>ANNEE 11</t>
  </si>
  <si>
    <t>CFE</t>
  </si>
  <si>
    <t>exo 1an/3</t>
  </si>
  <si>
    <t>ARD (report)</t>
  </si>
  <si>
    <t>exo 2è an /3</t>
  </si>
  <si>
    <t>exo 3è an /3</t>
  </si>
  <si>
    <t>ANNEE 12</t>
  </si>
  <si>
    <t>meublé y  compris  relocation et assurance</t>
  </si>
  <si>
    <t>T2 neuf VEFA</t>
  </si>
  <si>
    <t>IRL &amp; inflation +1% / an</t>
  </si>
  <si>
    <t xml:space="preserve">12,42 € x 45 m² pondérés x (0,7+19/S) = </t>
  </si>
  <si>
    <t>ANNEE 13</t>
  </si>
  <si>
    <t>ANNEE 14</t>
  </si>
  <si>
    <t>ANNEE 15</t>
  </si>
  <si>
    <t>Libre micro foncier</t>
  </si>
  <si>
    <t>rendmnt cumul</t>
  </si>
  <si>
    <t>% annuel moyen</t>
  </si>
  <si>
    <t xml:space="preserve">3% loyer nu </t>
  </si>
  <si>
    <t xml:space="preserve">  Vacance 10%/an meublé, 2 mois/3ans loc nue</t>
  </si>
  <si>
    <t>Après vacance</t>
  </si>
  <si>
    <t>Après IR et frais</t>
  </si>
  <si>
    <t>Mobilier  yc cuisine TTC</t>
  </si>
  <si>
    <t>renouvell mobil</t>
  </si>
  <si>
    <t>rénovation</t>
  </si>
  <si>
    <t>Rénovation</t>
  </si>
  <si>
    <t>Loc nue à 9 ans , coût 3 mois loyer</t>
  </si>
  <si>
    <t>NB</t>
  </si>
  <si>
    <t xml:space="preserve">soit une "réserve de défiscalisation" sur ces loyers équivalente à </t>
  </si>
  <si>
    <t xml:space="preserve">ce qui correspond à 82500 € de loyers restant à percevoir HORS IR et PS </t>
  </si>
  <si>
    <t>SUR 15 ANS</t>
  </si>
  <si>
    <t>Loyer meublé  yc parking</t>
  </si>
  <si>
    <t>DETAILS CALCULS COMPARATIFS</t>
  </si>
  <si>
    <t>Meublé : renouvellmt 50% mobilier 10 ans</t>
  </si>
  <si>
    <t>rendmt net aprèsIR</t>
  </si>
  <si>
    <t>gestion locative en foncier + assurance +1/3 relocation</t>
  </si>
  <si>
    <t>rendement locatif annuel moyen NET APRES IMPOTS et CSG sur 15 ANS</t>
  </si>
  <si>
    <t>TMI 30%</t>
  </si>
  <si>
    <t>ANALYSE COMPARATIVE</t>
  </si>
  <si>
    <t xml:space="preserve">  Vacance 10%/an meublé- 2mois/3ans loc nue</t>
  </si>
  <si>
    <t xml:space="preserve">T2 neuf VEFA </t>
  </si>
  <si>
    <t xml:space="preserve">Prix vente yc parking : </t>
  </si>
  <si>
    <t>Loc nue  : 9 ans - coût 3 mois loyer ; meublé : 50% mobilier 10 ans</t>
  </si>
  <si>
    <t xml:space="preserve">donc de percevoir à nouveau sur 15 ans des loyers non fiscalisés d'un montant total de </t>
  </si>
  <si>
    <t>De plus, ce comparatif ne prend pas en compte l'appréciation du capital immobilier …</t>
  </si>
  <si>
    <t>gestion en meublé (8%ht) y  compris  relocation (6%) et assurance (1,9%)</t>
  </si>
  <si>
    <t>exo 1è année</t>
  </si>
  <si>
    <t>exos ans 1&amp;2</t>
  </si>
  <si>
    <t>Zone Pinel : A</t>
  </si>
  <si>
    <t>Plafond loyer Pinel 2015</t>
  </si>
  <si>
    <t>Pinel</t>
  </si>
  <si>
    <t>Meublé BIC Réel</t>
  </si>
  <si>
    <t>Il reste dans le choix du réel, 50% d'amortissement sur l'immobilier</t>
  </si>
  <si>
    <t xml:space="preserve">Le régime du "réel" permet d'amortir pendant encore 15 ans l'immobilier , </t>
  </si>
  <si>
    <t>PINEL - LOCATION VIDE  - MEUBLE MICRO BIC - MEUBLE BIC REEL</t>
  </si>
  <si>
    <t>Meublé micro BIC</t>
  </si>
  <si>
    <t>Plafond Pinel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</si>
</sst>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42" formatCode="_-* #,##0\ &quot;€&quot;_-;\-* #,##0\ &quot;€&quot;_-;_-* &quot;-&quot;\ &quot;€&quot;_-;_-@_-"/>
    <numFmt numFmtId="164" formatCode="#,##0\ &quot;€&quot;"/>
    <numFmt numFmtId="165" formatCode="0.0%"/>
    <numFmt numFmtId="166" formatCode="#,##0.00\ _€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6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slantDashDot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slantDashDot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slantDashDot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medium">
        <color auto="1"/>
      </left>
      <right style="slantDashDot">
        <color auto="1"/>
      </right>
      <top style="medium">
        <color auto="1"/>
      </top>
      <bottom/>
      <diagonal/>
    </border>
    <border>
      <left style="medium">
        <color auto="1"/>
      </left>
      <right style="slantDashDot">
        <color auto="1"/>
      </right>
      <top/>
      <bottom/>
      <diagonal/>
    </border>
    <border>
      <left style="medium">
        <color auto="1"/>
      </left>
      <right style="slantDashDot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DashDotDot">
        <color auto="1"/>
      </left>
      <right/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6" fontId="0" fillId="0" borderId="0" xfId="0" applyNumberFormat="1"/>
    <xf numFmtId="0" fontId="2" fillId="0" borderId="0" xfId="0" applyFont="1"/>
    <xf numFmtId="0" fontId="0" fillId="0" borderId="7" xfId="0" applyBorder="1"/>
    <xf numFmtId="6" fontId="0" fillId="0" borderId="8" xfId="0" applyNumberFormat="1" applyBorder="1"/>
    <xf numFmtId="0" fontId="0" fillId="0" borderId="10" xfId="0" applyBorder="1"/>
    <xf numFmtId="6" fontId="1" fillId="0" borderId="11" xfId="0" applyNumberFormat="1" applyFont="1" applyBorder="1"/>
    <xf numFmtId="6" fontId="1" fillId="0" borderId="12" xfId="0" applyNumberFormat="1" applyFont="1" applyBorder="1"/>
    <xf numFmtId="0" fontId="2" fillId="0" borderId="10" xfId="0" applyFont="1" applyBorder="1"/>
    <xf numFmtId="6" fontId="0" fillId="0" borderId="11" xfId="0" applyNumberFormat="1" applyBorder="1"/>
    <xf numFmtId="6" fontId="0" fillId="0" borderId="12" xfId="0" applyNumberFormat="1" applyBorder="1"/>
    <xf numFmtId="6" fontId="2" fillId="0" borderId="11" xfId="0" applyNumberFormat="1" applyFont="1" applyBorder="1" applyAlignment="1">
      <alignment horizontal="center"/>
    </xf>
    <xf numFmtId="6" fontId="2" fillId="0" borderId="0" xfId="0" applyNumberFormat="1" applyFont="1"/>
    <xf numFmtId="9" fontId="0" fillId="0" borderId="0" xfId="0" applyNumberFormat="1" applyAlignment="1">
      <alignment horizontal="left"/>
    </xf>
    <xf numFmtId="0" fontId="5" fillId="0" borderId="0" xfId="0" applyFont="1"/>
    <xf numFmtId="6" fontId="5" fillId="0" borderId="0" xfId="0" applyNumberFormat="1" applyFont="1"/>
    <xf numFmtId="42" fontId="0" fillId="0" borderId="8" xfId="0" applyNumberFormat="1" applyBorder="1"/>
    <xf numFmtId="42" fontId="0" fillId="0" borderId="9" xfId="0" applyNumberFormat="1" applyBorder="1"/>
    <xf numFmtId="0" fontId="6" fillId="0" borderId="0" xfId="0" applyFont="1" applyAlignment="1">
      <alignment horizontal="left"/>
    </xf>
    <xf numFmtId="6" fontId="6" fillId="0" borderId="0" xfId="0" applyNumberFormat="1" applyFont="1"/>
    <xf numFmtId="164" fontId="0" fillId="0" borderId="0" xfId="0" applyNumberFormat="1"/>
    <xf numFmtId="164" fontId="3" fillId="0" borderId="1" xfId="0" applyNumberFormat="1" applyFont="1" applyBorder="1" applyAlignment="1">
      <alignment horizontal="center" vertical="center" textRotation="90"/>
    </xf>
    <xf numFmtId="164" fontId="0" fillId="0" borderId="7" xfId="0" applyNumberFormat="1" applyBorder="1"/>
    <xf numFmtId="164" fontId="1" fillId="0" borderId="8" xfId="0" applyNumberFormat="1" applyFont="1" applyBorder="1"/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0" xfId="0" applyAlignment="1">
      <alignment wrapText="1"/>
    </xf>
    <xf numFmtId="42" fontId="0" fillId="0" borderId="11" xfId="0" applyNumberFormat="1" applyBorder="1"/>
    <xf numFmtId="42" fontId="0" fillId="0" borderId="12" xfId="0" applyNumberFormat="1" applyBorder="1"/>
    <xf numFmtId="6" fontId="0" fillId="0" borderId="9" xfId="0" applyNumberFormat="1" applyBorder="1"/>
    <xf numFmtId="164" fontId="1" fillId="0" borderId="9" xfId="0" applyNumberFormat="1" applyFont="1" applyBorder="1"/>
    <xf numFmtId="0" fontId="7" fillId="0" borderId="0" xfId="0" applyFont="1"/>
    <xf numFmtId="6" fontId="7" fillId="0" borderId="0" xfId="0" applyNumberFormat="1" applyFont="1"/>
    <xf numFmtId="6" fontId="0" fillId="0" borderId="0" xfId="0" applyNumberFormat="1" applyAlignment="1">
      <alignment horizontal="right"/>
    </xf>
    <xf numFmtId="6" fontId="0" fillId="0" borderId="8" xfId="0" applyNumberFormat="1" applyBorder="1" applyAlignment="1">
      <alignment horizontal="center"/>
    </xf>
    <xf numFmtId="6" fontId="0" fillId="0" borderId="9" xfId="0" applyNumberFormat="1" applyBorder="1" applyAlignment="1">
      <alignment horizontal="center"/>
    </xf>
    <xf numFmtId="165" fontId="0" fillId="0" borderId="0" xfId="0" applyNumberFormat="1"/>
    <xf numFmtId="0" fontId="8" fillId="0" borderId="10" xfId="0" applyFont="1" applyBorder="1"/>
    <xf numFmtId="6" fontId="8" fillId="0" borderId="11" xfId="0" applyNumberFormat="1" applyFont="1" applyBorder="1"/>
    <xf numFmtId="6" fontId="8" fillId="0" borderId="12" xfId="0" applyNumberFormat="1" applyFont="1" applyBorder="1"/>
    <xf numFmtId="0" fontId="8" fillId="0" borderId="0" xfId="0" applyFont="1"/>
    <xf numFmtId="0" fontId="8" fillId="0" borderId="13" xfId="0" applyFont="1" applyBorder="1"/>
    <xf numFmtId="10" fontId="8" fillId="0" borderId="14" xfId="0" applyNumberFormat="1" applyFont="1" applyBorder="1"/>
    <xf numFmtId="10" fontId="8" fillId="0" borderId="22" xfId="0" applyNumberFormat="1" applyFont="1" applyBorder="1"/>
    <xf numFmtId="6" fontId="8" fillId="0" borderId="7" xfId="0" applyNumberFormat="1" applyFont="1" applyBorder="1"/>
    <xf numFmtId="6" fontId="8" fillId="0" borderId="15" xfId="0" applyNumberFormat="1" applyFont="1" applyBorder="1"/>
    <xf numFmtId="6" fontId="8" fillId="0" borderId="9" xfId="0" applyNumberFormat="1" applyFont="1" applyBorder="1"/>
    <xf numFmtId="6" fontId="8" fillId="0" borderId="10" xfId="0" applyNumberFormat="1" applyFont="1" applyBorder="1"/>
    <xf numFmtId="10" fontId="8" fillId="0" borderId="11" xfId="0" applyNumberFormat="1" applyFont="1" applyBorder="1"/>
    <xf numFmtId="6" fontId="9" fillId="0" borderId="21" xfId="0" applyNumberFormat="1" applyFont="1" applyBorder="1"/>
    <xf numFmtId="6" fontId="8" fillId="0" borderId="20" xfId="0" applyNumberFormat="1" applyFont="1" applyBorder="1"/>
    <xf numFmtId="0" fontId="8" fillId="0" borderId="20" xfId="0" applyFont="1" applyBorder="1"/>
    <xf numFmtId="0" fontId="8" fillId="0" borderId="19" xfId="0" applyFont="1" applyBorder="1"/>
    <xf numFmtId="0" fontId="13" fillId="0" borderId="0" xfId="0" applyFont="1"/>
    <xf numFmtId="1" fontId="13" fillId="2" borderId="30" xfId="0" applyNumberFormat="1" applyFont="1" applyFill="1" applyBorder="1" applyAlignment="1">
      <alignment horizontal="center"/>
    </xf>
    <xf numFmtId="0" fontId="13" fillId="2" borderId="31" xfId="0" applyFont="1" applyFill="1" applyBorder="1" applyAlignment="1">
      <alignment horizontal="left"/>
    </xf>
    <xf numFmtId="6" fontId="13" fillId="2" borderId="0" xfId="0" applyNumberFormat="1" applyFont="1" applyFill="1" applyBorder="1" applyAlignment="1">
      <alignment horizontal="left"/>
    </xf>
    <xf numFmtId="1" fontId="13" fillId="2" borderId="0" xfId="0" applyNumberFormat="1" applyFont="1" applyFill="1" applyBorder="1" applyAlignment="1">
      <alignment horizontal="right"/>
    </xf>
    <xf numFmtId="165" fontId="13" fillId="2" borderId="0" xfId="0" applyNumberFormat="1" applyFont="1" applyFill="1" applyBorder="1" applyAlignment="1">
      <alignment horizontal="left"/>
    </xf>
    <xf numFmtId="6" fontId="13" fillId="2" borderId="31" xfId="0" applyNumberFormat="1" applyFont="1" applyFill="1" applyBorder="1" applyAlignment="1">
      <alignment horizontal="left"/>
    </xf>
    <xf numFmtId="0" fontId="13" fillId="2" borderId="32" xfId="0" applyFont="1" applyFill="1" applyBorder="1" applyAlignment="1">
      <alignment horizontal="left"/>
    </xf>
    <xf numFmtId="6" fontId="13" fillId="2" borderId="33" xfId="0" applyNumberFormat="1" applyFont="1" applyFill="1" applyBorder="1" applyAlignment="1">
      <alignment horizontal="left"/>
    </xf>
    <xf numFmtId="6" fontId="13" fillId="2" borderId="0" xfId="0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0" fontId="0" fillId="2" borderId="0" xfId="0" applyFill="1"/>
    <xf numFmtId="0" fontId="14" fillId="0" borderId="0" xfId="0" applyFont="1"/>
    <xf numFmtId="0" fontId="14" fillId="0" borderId="0" xfId="0" applyFont="1" applyAlignment="1">
      <alignment horizontal="left"/>
    </xf>
    <xf numFmtId="6" fontId="14" fillId="0" borderId="0" xfId="0" applyNumberFormat="1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0" fontId="15" fillId="2" borderId="29" xfId="0" applyFont="1" applyFill="1" applyBorder="1" applyAlignment="1">
      <alignment horizontal="left"/>
    </xf>
    <xf numFmtId="0" fontId="0" fillId="0" borderId="31" xfId="0" applyFill="1" applyBorder="1"/>
    <xf numFmtId="6" fontId="13" fillId="2" borderId="3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0" fillId="0" borderId="0" xfId="0" applyFill="1" applyBorder="1"/>
    <xf numFmtId="1" fontId="13" fillId="0" borderId="0" xfId="0" applyNumberFormat="1" applyFont="1" applyFill="1" applyBorder="1" applyAlignment="1">
      <alignment horizontal="right"/>
    </xf>
    <xf numFmtId="6" fontId="13" fillId="0" borderId="31" xfId="0" applyNumberFormat="1" applyFont="1" applyFill="1" applyBorder="1" applyAlignment="1">
      <alignment horizontal="left"/>
    </xf>
    <xf numFmtId="6" fontId="13" fillId="0" borderId="31" xfId="0" applyNumberFormat="1" applyFont="1" applyFill="1" applyBorder="1" applyAlignment="1">
      <alignment horizontal="right"/>
    </xf>
    <xf numFmtId="6" fontId="16" fillId="0" borderId="0" xfId="0" applyNumberFormat="1" applyFont="1"/>
    <xf numFmtId="6" fontId="17" fillId="0" borderId="0" xfId="0" applyNumberFormat="1" applyFont="1"/>
    <xf numFmtId="0" fontId="17" fillId="0" borderId="0" xfId="0" applyFont="1"/>
    <xf numFmtId="6" fontId="18" fillId="0" borderId="0" xfId="0" applyNumberFormat="1" applyFont="1" applyAlignment="1">
      <alignment horizontal="left"/>
    </xf>
    <xf numFmtId="0" fontId="19" fillId="0" borderId="4" xfId="0" applyFont="1" applyBorder="1" applyAlignment="1">
      <alignment wrapText="1"/>
    </xf>
    <xf numFmtId="0" fontId="19" fillId="0" borderId="34" xfId="0" applyFont="1" applyBorder="1" applyAlignment="1">
      <alignment wrapText="1"/>
    </xf>
    <xf numFmtId="6" fontId="20" fillId="0" borderId="25" xfId="0" applyNumberFormat="1" applyFont="1" applyBorder="1" applyAlignment="1">
      <alignment horizontal="center"/>
    </xf>
    <xf numFmtId="6" fontId="20" fillId="0" borderId="26" xfId="0" applyNumberFormat="1" applyFont="1" applyBorder="1" applyAlignment="1">
      <alignment horizontal="center"/>
    </xf>
    <xf numFmtId="0" fontId="18" fillId="0" borderId="0" xfId="0" applyFont="1"/>
    <xf numFmtId="0" fontId="21" fillId="0" borderId="0" xfId="0" applyFont="1"/>
    <xf numFmtId="6" fontId="18" fillId="0" borderId="0" xfId="0" applyNumberFormat="1" applyFont="1"/>
    <xf numFmtId="6" fontId="22" fillId="0" borderId="0" xfId="0" applyNumberFormat="1" applyFont="1"/>
    <xf numFmtId="6" fontId="4" fillId="0" borderId="5" xfId="0" applyNumberFormat="1" applyFont="1" applyBorder="1" applyAlignment="1">
      <alignment horizontal="center" vertical="center" wrapText="1"/>
    </xf>
    <xf numFmtId="6" fontId="4" fillId="0" borderId="6" xfId="0" applyNumberFormat="1" applyFont="1" applyBorder="1" applyAlignment="1">
      <alignment horizontal="center" vertical="center" wrapText="1"/>
    </xf>
    <xf numFmtId="6" fontId="19" fillId="0" borderId="23" xfId="0" applyNumberFormat="1" applyFont="1" applyBorder="1" applyAlignment="1">
      <alignment horizontal="center" vertical="center" wrapText="1"/>
    </xf>
    <xf numFmtId="6" fontId="19" fillId="0" borderId="24" xfId="0" applyNumberFormat="1" applyFont="1" applyBorder="1" applyAlignment="1">
      <alignment horizontal="center" vertical="center" wrapText="1"/>
    </xf>
    <xf numFmtId="0" fontId="4" fillId="0" borderId="0" xfId="0" applyFont="1"/>
    <xf numFmtId="6" fontId="23" fillId="0" borderId="0" xfId="0" applyNumberFormat="1" applyFont="1"/>
    <xf numFmtId="0" fontId="23" fillId="0" borderId="0" xfId="0" applyFont="1"/>
    <xf numFmtId="10" fontId="20" fillId="0" borderId="26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35" xfId="0" applyFont="1" applyBorder="1" applyAlignment="1">
      <alignment wrapText="1"/>
    </xf>
    <xf numFmtId="0" fontId="20" fillId="0" borderId="2" xfId="0" applyFont="1" applyBorder="1" applyAlignment="1">
      <alignment horizontal="center" vertical="center" wrapText="1"/>
    </xf>
    <xf numFmtId="0" fontId="20" fillId="0" borderId="36" xfId="0" applyFont="1" applyBorder="1" applyAlignment="1">
      <alignment wrapText="1"/>
    </xf>
    <xf numFmtId="0" fontId="20" fillId="0" borderId="3" xfId="0" applyFont="1" applyBorder="1" applyAlignment="1">
      <alignment horizontal="center" vertical="center" wrapText="1"/>
    </xf>
    <xf numFmtId="0" fontId="20" fillId="0" borderId="37" xfId="0" applyFont="1" applyBorder="1" applyAlignment="1">
      <alignment wrapText="1"/>
    </xf>
    <xf numFmtId="10" fontId="20" fillId="0" borderId="25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0" fillId="0" borderId="18" xfId="0" applyBorder="1" applyAlignment="1"/>
    <xf numFmtId="0" fontId="0" fillId="0" borderId="17" xfId="0" applyBorder="1" applyAlignment="1"/>
    <xf numFmtId="0" fontId="0" fillId="0" borderId="17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Comparatif dispositifs locatifs appartement neuf sur </a:t>
            </a:r>
            <a:r>
              <a:rPr lang="en-US" sz="2400" baseline="0"/>
              <a:t>15 ans - autofinancement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'analyse comparatif PH graphique'!$E$7:$I$7</c:f>
              <c:strCache>
                <c:ptCount val="5"/>
                <c:pt idx="0">
                  <c:v>Location Libre</c:v>
                </c:pt>
                <c:pt idx="1">
                  <c:v>Libre micro foncier</c:v>
                </c:pt>
                <c:pt idx="2">
                  <c:v>Pinel</c:v>
                </c:pt>
                <c:pt idx="3">
                  <c:v>Meublé micro BIC</c:v>
                </c:pt>
                <c:pt idx="4">
                  <c:v>Meublé BIC Réel</c:v>
                </c:pt>
              </c:strCache>
            </c:strRef>
          </c:tx>
          <c:spPr>
            <a:effectLst>
              <a:innerShdw blurRad="63500" dist="50800" dir="189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'analyse comparatif PH graphique'!$E$7:$I$7</c:f>
              <c:strCache>
                <c:ptCount val="5"/>
                <c:pt idx="0">
                  <c:v>Location Libre</c:v>
                </c:pt>
                <c:pt idx="1">
                  <c:v>Libre micro foncier</c:v>
                </c:pt>
                <c:pt idx="2">
                  <c:v>Pinel</c:v>
                </c:pt>
                <c:pt idx="3">
                  <c:v>Meublé micro BIC</c:v>
                </c:pt>
                <c:pt idx="4">
                  <c:v>Meublé BIC Réel</c:v>
                </c:pt>
              </c:strCache>
            </c:strRef>
          </c:cat>
          <c:val>
            <c:numRef>
              <c:f>'analyse comparatif PH graphique'!$E$8:$I$8</c:f>
              <c:numCache>
                <c:formatCode>"€"#,##0_);[Red]\("€"#,##0\)</c:formatCode>
                <c:ptCount val="5"/>
                <c:pt idx="0">
                  <c:v>51068.666423347939</c:v>
                </c:pt>
                <c:pt idx="1">
                  <c:v>54216.128855029412</c:v>
                </c:pt>
                <c:pt idx="2">
                  <c:v>76134.195715781549</c:v>
                </c:pt>
                <c:pt idx="3">
                  <c:v>71793.393994849495</c:v>
                </c:pt>
                <c:pt idx="4">
                  <c:v>99719.079506990063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8587232"/>
        <c:axId val="268587792"/>
        <c:axId val="0"/>
      </c:bar3DChart>
      <c:catAx>
        <c:axId val="26858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268587792"/>
        <c:crosses val="autoZero"/>
        <c:auto val="1"/>
        <c:lblAlgn val="ctr"/>
        <c:lblOffset val="100"/>
        <c:noMultiLvlLbl val="0"/>
      </c:catAx>
      <c:valAx>
        <c:axId val="268587792"/>
        <c:scaling>
          <c:orientation val="minMax"/>
        </c:scaling>
        <c:delete val="0"/>
        <c:axPos val="l"/>
        <c:majorGridlines/>
        <c:numFmt formatCode="&quot;€&quot;#,##0_);[Red]\(&quot;€&quot;#,##0\)" sourceLinked="1"/>
        <c:majorTickMark val="out"/>
        <c:minorTickMark val="none"/>
        <c:tickLblPos val="nextTo"/>
        <c:crossAx val="26858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221456</xdr:colOff>
      <xdr:row>12</xdr:row>
      <xdr:rowOff>141173</xdr:rowOff>
    </xdr:from>
    <xdr:to>
      <xdr:col>10</xdr:col>
      <xdr:colOff>202406</xdr:colOff>
      <xdr:row>49</xdr:row>
      <xdr:rowOff>277245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1"/>
  <sheetViews>
    <sheetView tabSelected="1" topLeftCell="A40" zoomScale="90" zoomScaleNormal="90" workbookViewId="0">
      <selection activeCell="E85" sqref="E85"/>
    </sheetView>
  </sheetViews>
  <sheetFormatPr baseColWidth="10" defaultColWidth="9.140625" defaultRowHeight="15" x14ac:dyDescent="0.25"/>
  <cols>
    <col min="3" max="3" width="19.28515625" customWidth="1"/>
    <col min="4" max="4" width="20.5703125" customWidth="1"/>
    <col min="5" max="5" width="22.5703125" customWidth="1"/>
    <col min="6" max="6" width="21.7109375" customWidth="1"/>
    <col min="7" max="7" width="19" customWidth="1"/>
    <col min="8" max="8" width="21.28515625" customWidth="1"/>
    <col min="9" max="9" width="19" customWidth="1"/>
  </cols>
  <sheetData>
    <row r="1" spans="3:9" s="65" customFormat="1" ht="31.5" x14ac:dyDescent="0.5">
      <c r="E1" s="67"/>
      <c r="F1" s="66" t="s">
        <v>73</v>
      </c>
      <c r="G1" s="67"/>
    </row>
    <row r="2" spans="3:9" s="65" customFormat="1" ht="31.5" x14ac:dyDescent="0.5">
      <c r="D2" s="67" t="s">
        <v>89</v>
      </c>
      <c r="F2" s="67"/>
      <c r="G2" s="67"/>
    </row>
    <row r="4" spans="3:9" ht="5.25" customHeight="1" thickBot="1" x14ac:dyDescent="0.3"/>
    <row r="5" spans="3:9" ht="12.75" hidden="1" customHeight="1" thickBot="1" x14ac:dyDescent="0.3"/>
    <row r="6" spans="3:9" ht="15.75" hidden="1" thickBot="1" x14ac:dyDescent="0.3"/>
    <row r="7" spans="3:9" s="26" customFormat="1" ht="42.75" customHeight="1" thickBot="1" x14ac:dyDescent="0.4">
      <c r="C7" s="83"/>
      <c r="D7" s="84"/>
      <c r="E7" s="93" t="s">
        <v>5</v>
      </c>
      <c r="F7" s="93" t="s">
        <v>50</v>
      </c>
      <c r="G7" s="93" t="s">
        <v>85</v>
      </c>
      <c r="H7" s="93" t="s">
        <v>90</v>
      </c>
      <c r="I7" s="94" t="s">
        <v>86</v>
      </c>
    </row>
    <row r="8" spans="3:9" s="40" customFormat="1" ht="33.75" customHeight="1" x14ac:dyDescent="0.35">
      <c r="C8" s="100" t="s">
        <v>71</v>
      </c>
      <c r="D8" s="101"/>
      <c r="E8" s="85">
        <f>'details calculs comparatif PH'!C245</f>
        <v>51068.666423347939</v>
      </c>
      <c r="F8" s="85">
        <f>'details calculs comparatif PH'!D245</f>
        <v>54216.128855029412</v>
      </c>
      <c r="G8" s="85">
        <f>'details calculs comparatif PH'!E245</f>
        <v>76134.195715781549</v>
      </c>
      <c r="H8" s="85">
        <f>'details calculs comparatif PH'!F245</f>
        <v>71793.393994849495</v>
      </c>
      <c r="I8" s="86">
        <f>'details calculs comparatif PH'!G245</f>
        <v>99719.079506990063</v>
      </c>
    </row>
    <row r="9" spans="3:9" s="40" customFormat="1" ht="30.75" customHeight="1" x14ac:dyDescent="0.25">
      <c r="C9" s="102"/>
      <c r="D9" s="103"/>
      <c r="E9" s="106">
        <f>'details calculs comparatif PH'!C246</f>
        <v>2.0130541088286946E-2</v>
      </c>
      <c r="F9" s="106">
        <f>'details calculs comparatif PH'!D246</f>
        <v>2.1371225959114826E-2</v>
      </c>
      <c r="G9" s="106">
        <f>'details calculs comparatif PH'!E246</f>
        <v>3.0011015803215201E-2</v>
      </c>
      <c r="H9" s="106">
        <f>'details calculs comparatif PH'!F246</f>
        <v>2.5910008208544055E-2</v>
      </c>
      <c r="I9" s="98">
        <f>'details calculs comparatif PH'!G246</f>
        <v>3.5988299546890451E-2</v>
      </c>
    </row>
    <row r="10" spans="3:9" s="40" customFormat="1" ht="27.75" customHeight="1" thickBot="1" x14ac:dyDescent="0.3">
      <c r="C10" s="104"/>
      <c r="D10" s="105"/>
      <c r="E10" s="107"/>
      <c r="F10" s="107"/>
      <c r="G10" s="107"/>
      <c r="H10" s="107"/>
      <c r="I10" s="99"/>
    </row>
    <row r="11" spans="3:9" s="40" customFormat="1" ht="27.75" customHeight="1" x14ac:dyDescent="0.25">
      <c r="C11" s="68"/>
      <c r="D11" s="69"/>
      <c r="E11" s="70"/>
      <c r="F11" s="70"/>
      <c r="G11" s="70"/>
      <c r="H11" s="70"/>
      <c r="I11" s="70"/>
    </row>
    <row r="42" ht="30.75" customHeight="1" x14ac:dyDescent="0.25"/>
    <row r="43" ht="30.75" customHeight="1" x14ac:dyDescent="0.25"/>
    <row r="44" ht="30.75" customHeight="1" x14ac:dyDescent="0.25"/>
    <row r="45" ht="30.75" customHeight="1" x14ac:dyDescent="0.25"/>
    <row r="46" ht="30.75" customHeight="1" x14ac:dyDescent="0.25"/>
    <row r="47" ht="30.75" customHeight="1" x14ac:dyDescent="0.25"/>
    <row r="48" ht="30.75" customHeight="1" x14ac:dyDescent="0.25"/>
    <row r="49" spans="2:9" ht="30.75" customHeight="1" x14ac:dyDescent="0.25"/>
    <row r="50" spans="2:9" ht="30.75" customHeight="1" x14ac:dyDescent="0.25"/>
    <row r="51" spans="2:9" ht="30.75" customHeight="1" x14ac:dyDescent="0.25"/>
    <row r="52" spans="2:9" s="95" customFormat="1" ht="30.75" customHeight="1" x14ac:dyDescent="0.35">
      <c r="B52" s="81" t="s">
        <v>88</v>
      </c>
      <c r="D52" s="79"/>
      <c r="E52" s="79"/>
      <c r="F52" s="79"/>
      <c r="G52" s="96"/>
      <c r="H52" s="97"/>
    </row>
    <row r="53" spans="2:9" ht="24" customHeight="1" x14ac:dyDescent="0.4">
      <c r="B53" s="80" t="s">
        <v>78</v>
      </c>
      <c r="D53" s="79"/>
      <c r="E53" s="79"/>
      <c r="F53" s="79"/>
      <c r="G53" s="32"/>
      <c r="I53" s="82">
        <f>'details calculs comparatif PH'!G249</f>
        <v>82500</v>
      </c>
    </row>
    <row r="54" spans="2:9" ht="26.25" x14ac:dyDescent="0.4">
      <c r="B54" s="81" t="s">
        <v>63</v>
      </c>
      <c r="D54" s="79"/>
      <c r="E54" s="79"/>
      <c r="F54" s="79"/>
      <c r="G54" s="32"/>
      <c r="I54" s="82">
        <f>I53*0.455</f>
        <v>37537.5</v>
      </c>
    </row>
    <row r="55" spans="2:9" ht="26.25" x14ac:dyDescent="0.4">
      <c r="B55" s="81"/>
      <c r="D55" s="79"/>
      <c r="E55" s="79"/>
      <c r="F55" s="79"/>
      <c r="G55" s="32"/>
      <c r="I55" s="82"/>
    </row>
    <row r="56" spans="2:9" ht="26.25" x14ac:dyDescent="0.4">
      <c r="B56" s="87" t="s">
        <v>79</v>
      </c>
      <c r="C56" s="88"/>
      <c r="D56" s="89"/>
      <c r="E56" s="89"/>
      <c r="F56" s="89"/>
      <c r="G56" s="90"/>
      <c r="H56" s="88"/>
      <c r="I56" s="82"/>
    </row>
    <row r="57" spans="2:9" ht="15.75" thickBot="1" x14ac:dyDescent="0.3">
      <c r="C57" s="53"/>
      <c r="D57" s="53"/>
      <c r="E57" s="53"/>
      <c r="F57" s="53"/>
      <c r="G57" s="53"/>
      <c r="H57" s="53"/>
    </row>
    <row r="58" spans="2:9" ht="24.75" customHeight="1" x14ac:dyDescent="0.25">
      <c r="C58" s="71" t="s">
        <v>0</v>
      </c>
      <c r="D58" s="73" t="s">
        <v>75</v>
      </c>
      <c r="E58" s="73" t="s">
        <v>76</v>
      </c>
      <c r="F58" s="54">
        <v>165000</v>
      </c>
      <c r="G58" s="77"/>
      <c r="H58" s="74"/>
    </row>
    <row r="59" spans="2:9" ht="24.75" customHeight="1" x14ac:dyDescent="0.25">
      <c r="C59" s="55" t="s">
        <v>1</v>
      </c>
      <c r="D59" s="56" t="s">
        <v>32</v>
      </c>
      <c r="E59" s="56" t="s">
        <v>33</v>
      </c>
      <c r="F59" s="56" t="s">
        <v>83</v>
      </c>
      <c r="G59" s="72"/>
      <c r="H59" s="75"/>
    </row>
    <row r="60" spans="2:9" ht="24.75" customHeight="1" x14ac:dyDescent="0.25">
      <c r="C60" s="55" t="s">
        <v>91</v>
      </c>
      <c r="D60" s="56" t="s">
        <v>46</v>
      </c>
      <c r="E60" s="64"/>
      <c r="F60" s="57">
        <v>627</v>
      </c>
      <c r="G60" s="72"/>
      <c r="H60" s="75"/>
    </row>
    <row r="61" spans="2:9" ht="24.75" customHeight="1" x14ac:dyDescent="0.25">
      <c r="C61" s="55" t="s">
        <v>34</v>
      </c>
      <c r="D61" s="56"/>
      <c r="E61" s="56"/>
      <c r="F61" s="57">
        <v>680</v>
      </c>
      <c r="G61" s="72"/>
      <c r="H61" s="75"/>
    </row>
    <row r="62" spans="2:9" ht="24.75" customHeight="1" x14ac:dyDescent="0.25">
      <c r="C62" s="55" t="s">
        <v>66</v>
      </c>
      <c r="D62" s="56"/>
      <c r="E62" s="56"/>
      <c r="F62" s="57">
        <v>830</v>
      </c>
      <c r="G62" s="72"/>
      <c r="H62" s="75"/>
    </row>
    <row r="63" spans="2:9" ht="24.75" customHeight="1" x14ac:dyDescent="0.25">
      <c r="C63" s="55" t="s">
        <v>4</v>
      </c>
      <c r="D63" s="56"/>
      <c r="E63" s="56" t="s">
        <v>57</v>
      </c>
      <c r="F63" s="57">
        <v>10100</v>
      </c>
      <c r="G63" s="72"/>
      <c r="H63" s="75"/>
    </row>
    <row r="64" spans="2:9" ht="24.75" customHeight="1" x14ac:dyDescent="0.25">
      <c r="C64" s="55" t="s">
        <v>72</v>
      </c>
      <c r="D64" s="56"/>
      <c r="E64" s="62" t="s">
        <v>11</v>
      </c>
      <c r="F64" s="63">
        <v>700</v>
      </c>
      <c r="G64" s="72"/>
      <c r="H64" s="75"/>
    </row>
    <row r="65" spans="3:8" ht="24.75" customHeight="1" x14ac:dyDescent="0.25">
      <c r="C65" s="55" t="s">
        <v>2</v>
      </c>
      <c r="D65" s="56"/>
      <c r="E65" s="56"/>
      <c r="F65" s="62" t="s">
        <v>45</v>
      </c>
      <c r="G65" s="72"/>
      <c r="H65" s="76"/>
    </row>
    <row r="66" spans="3:8" ht="24.75" customHeight="1" x14ac:dyDescent="0.25">
      <c r="C66" s="55" t="s">
        <v>70</v>
      </c>
      <c r="D66" s="56"/>
      <c r="E66" s="56"/>
      <c r="F66" s="58">
        <v>0.12</v>
      </c>
      <c r="G66" s="72"/>
      <c r="H66" s="75"/>
    </row>
    <row r="67" spans="3:8" ht="24.75" customHeight="1" x14ac:dyDescent="0.25">
      <c r="C67" s="59" t="s">
        <v>43</v>
      </c>
      <c r="D67" s="56"/>
      <c r="E67" s="56"/>
      <c r="F67" s="58">
        <v>0.17499999999999999</v>
      </c>
      <c r="G67" s="72"/>
      <c r="H67" s="75"/>
    </row>
    <row r="68" spans="3:8" ht="24.75" customHeight="1" x14ac:dyDescent="0.25">
      <c r="C68" s="55" t="s">
        <v>30</v>
      </c>
      <c r="D68" s="56"/>
      <c r="E68" s="56" t="s">
        <v>53</v>
      </c>
      <c r="F68" s="64"/>
      <c r="G68" s="72"/>
      <c r="H68" s="74"/>
    </row>
    <row r="69" spans="3:8" ht="24.75" customHeight="1" x14ac:dyDescent="0.25">
      <c r="C69" s="56" t="s">
        <v>74</v>
      </c>
      <c r="D69" s="56"/>
      <c r="E69" s="56"/>
      <c r="F69" s="64"/>
      <c r="G69" s="78"/>
      <c r="H69" s="74"/>
    </row>
    <row r="70" spans="3:8" ht="24.75" customHeight="1" thickBot="1" x14ac:dyDescent="0.3">
      <c r="C70" s="60" t="s">
        <v>60</v>
      </c>
      <c r="D70" s="61" t="s">
        <v>77</v>
      </c>
      <c r="E70" s="61"/>
      <c r="F70" s="61"/>
      <c r="G70" s="72"/>
      <c r="H70" s="74"/>
    </row>
    <row r="71" spans="3:8" x14ac:dyDescent="0.25">
      <c r="C71" s="53"/>
      <c r="D71" s="53"/>
      <c r="E71" s="53"/>
      <c r="F71" s="53"/>
      <c r="G71" s="53"/>
      <c r="H71" s="53"/>
    </row>
  </sheetData>
  <mergeCells count="6">
    <mergeCell ref="I9:I10"/>
    <mergeCell ref="C8:D10"/>
    <mergeCell ref="E9:E10"/>
    <mergeCell ref="F9:F10"/>
    <mergeCell ref="G9:G10"/>
    <mergeCell ref="H9:H10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&amp;Cwww.primhome.fr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1"/>
  <sheetViews>
    <sheetView topLeftCell="A136" zoomScaleNormal="100" workbookViewId="0">
      <selection activeCell="G251" sqref="G251"/>
    </sheetView>
  </sheetViews>
  <sheetFormatPr baseColWidth="10" defaultColWidth="9.140625" defaultRowHeight="15" x14ac:dyDescent="0.25"/>
  <cols>
    <col min="1" max="1" width="12.140625" customWidth="1"/>
    <col min="2" max="2" width="17.7109375" style="1" customWidth="1"/>
    <col min="3" max="3" width="12.7109375" style="1" customWidth="1"/>
    <col min="4" max="4" width="12.5703125" style="1" customWidth="1"/>
    <col min="5" max="5" width="13.7109375" style="1" customWidth="1"/>
    <col min="6" max="6" width="12" customWidth="1"/>
    <col min="7" max="7" width="12.28515625" customWidth="1"/>
  </cols>
  <sheetData>
    <row r="1" spans="1:6" s="14" customFormat="1" ht="21" x14ac:dyDescent="0.35">
      <c r="B1" s="18" t="s">
        <v>67</v>
      </c>
      <c r="C1" s="15"/>
      <c r="D1" s="15"/>
      <c r="E1" s="15"/>
    </row>
    <row r="2" spans="1:6" s="14" customFormat="1" ht="21" x14ac:dyDescent="0.35">
      <c r="A2" s="19" t="s">
        <v>89</v>
      </c>
      <c r="D2" s="15"/>
      <c r="E2" s="15"/>
    </row>
    <row r="4" spans="1:6" x14ac:dyDescent="0.25">
      <c r="A4" t="s">
        <v>0</v>
      </c>
      <c r="B4" s="33" t="s">
        <v>44</v>
      </c>
      <c r="D4" s="1">
        <v>165000</v>
      </c>
      <c r="E4" s="1" t="s">
        <v>31</v>
      </c>
    </row>
    <row r="5" spans="1:6" x14ac:dyDescent="0.25">
      <c r="A5" t="s">
        <v>1</v>
      </c>
      <c r="B5" s="1" t="s">
        <v>32</v>
      </c>
      <c r="D5" s="1" t="s">
        <v>33</v>
      </c>
      <c r="F5" s="1" t="s">
        <v>83</v>
      </c>
    </row>
    <row r="6" spans="1:6" x14ac:dyDescent="0.25">
      <c r="A6" t="s">
        <v>84</v>
      </c>
      <c r="C6" s="1" t="s">
        <v>46</v>
      </c>
      <c r="F6" s="20">
        <v>627</v>
      </c>
    </row>
    <row r="7" spans="1:6" x14ac:dyDescent="0.25">
      <c r="A7" t="s">
        <v>34</v>
      </c>
      <c r="F7" s="20">
        <v>680</v>
      </c>
    </row>
    <row r="8" spans="1:6" x14ac:dyDescent="0.25">
      <c r="A8" t="s">
        <v>66</v>
      </c>
      <c r="F8" s="20">
        <v>850</v>
      </c>
    </row>
    <row r="9" spans="1:6" x14ac:dyDescent="0.25">
      <c r="A9" t="s">
        <v>4</v>
      </c>
      <c r="D9" s="1" t="s">
        <v>57</v>
      </c>
      <c r="F9" s="20">
        <v>10100</v>
      </c>
    </row>
    <row r="10" spans="1:6" x14ac:dyDescent="0.25">
      <c r="A10" t="s">
        <v>3</v>
      </c>
      <c r="D10" s="1" t="s">
        <v>11</v>
      </c>
      <c r="F10" s="20">
        <v>700</v>
      </c>
    </row>
    <row r="11" spans="1:6" x14ac:dyDescent="0.25">
      <c r="A11" t="s">
        <v>2</v>
      </c>
      <c r="E11" s="1" t="s">
        <v>45</v>
      </c>
    </row>
    <row r="12" spans="1:6" x14ac:dyDescent="0.25">
      <c r="A12" t="s">
        <v>70</v>
      </c>
      <c r="D12" s="13"/>
      <c r="F12" s="36">
        <v>0.12</v>
      </c>
    </row>
    <row r="13" spans="1:6" x14ac:dyDescent="0.25">
      <c r="A13" s="1" t="s">
        <v>80</v>
      </c>
      <c r="D13" s="13"/>
      <c r="F13" s="36">
        <v>0.17499999999999999</v>
      </c>
    </row>
    <row r="14" spans="1:6" x14ac:dyDescent="0.25">
      <c r="A14" t="s">
        <v>30</v>
      </c>
      <c r="C14" s="1" t="s">
        <v>53</v>
      </c>
      <c r="D14" s="1" t="s">
        <v>54</v>
      </c>
    </row>
    <row r="15" spans="1:6" x14ac:dyDescent="0.25">
      <c r="A15" t="s">
        <v>60</v>
      </c>
      <c r="B15" s="1" t="s">
        <v>61</v>
      </c>
      <c r="E15" s="1" t="s">
        <v>68</v>
      </c>
    </row>
    <row r="16" spans="1:6" ht="15.75" thickBot="1" x14ac:dyDescent="0.3"/>
    <row r="17" spans="1:7" s="26" customFormat="1" ht="30.75" thickBot="1" x14ac:dyDescent="0.3">
      <c r="A17" s="24"/>
      <c r="B17" s="25"/>
      <c r="C17" s="91" t="s">
        <v>5</v>
      </c>
      <c r="D17" s="91" t="s">
        <v>50</v>
      </c>
      <c r="E17" s="91" t="s">
        <v>85</v>
      </c>
      <c r="F17" s="91" t="s">
        <v>90</v>
      </c>
      <c r="G17" s="92" t="s">
        <v>86</v>
      </c>
    </row>
    <row r="18" spans="1:7" x14ac:dyDescent="0.25">
      <c r="A18" s="108" t="s">
        <v>7</v>
      </c>
      <c r="B18" s="3" t="s">
        <v>6</v>
      </c>
      <c r="C18" s="4">
        <v>680</v>
      </c>
      <c r="D18" s="4">
        <v>680</v>
      </c>
      <c r="E18" s="4">
        <v>627</v>
      </c>
      <c r="F18" s="16">
        <f>F8</f>
        <v>850</v>
      </c>
      <c r="G18" s="17">
        <f>F8</f>
        <v>850</v>
      </c>
    </row>
    <row r="19" spans="1:7" x14ac:dyDescent="0.25">
      <c r="A19" s="109"/>
      <c r="B19" s="5" t="s">
        <v>55</v>
      </c>
      <c r="C19" s="9">
        <v>680</v>
      </c>
      <c r="D19" s="9">
        <v>680</v>
      </c>
      <c r="E19" s="9">
        <v>627</v>
      </c>
      <c r="F19" s="27">
        <f>F18*0.9</f>
        <v>765</v>
      </c>
      <c r="G19" s="28">
        <f>G18*0.9</f>
        <v>765</v>
      </c>
    </row>
    <row r="20" spans="1:7" x14ac:dyDescent="0.25">
      <c r="A20" s="109"/>
      <c r="B20" s="5" t="s">
        <v>8</v>
      </c>
      <c r="C20" s="6">
        <f>-C19*0.12</f>
        <v>-81.599999999999994</v>
      </c>
      <c r="D20" s="6">
        <f t="shared" ref="D20:E20" si="0">-D19*0.12</f>
        <v>-81.599999999999994</v>
      </c>
      <c r="E20" s="6">
        <f t="shared" si="0"/>
        <v>-75.239999999999995</v>
      </c>
      <c r="F20" s="7">
        <f>-F19*0.175</f>
        <v>-133.875</v>
      </c>
      <c r="G20" s="7">
        <f>-G19*0.175</f>
        <v>-133.875</v>
      </c>
    </row>
    <row r="21" spans="1:7" x14ac:dyDescent="0.25">
      <c r="A21" s="109"/>
      <c r="B21" s="5" t="s">
        <v>9</v>
      </c>
      <c r="C21" s="6">
        <f>-C18*0.03</f>
        <v>-20.399999999999999</v>
      </c>
      <c r="D21" s="6">
        <f>-D18*0.03</f>
        <v>-20.399999999999999</v>
      </c>
      <c r="E21" s="6">
        <f>C21</f>
        <v>-20.399999999999999</v>
      </c>
      <c r="F21" s="6">
        <f>C21</f>
        <v>-20.399999999999999</v>
      </c>
      <c r="G21" s="7">
        <f>C21</f>
        <v>-20.399999999999999</v>
      </c>
    </row>
    <row r="22" spans="1:7" x14ac:dyDescent="0.25">
      <c r="A22" s="109"/>
      <c r="B22" s="5" t="s">
        <v>10</v>
      </c>
      <c r="C22" s="6" t="s">
        <v>82</v>
      </c>
      <c r="D22" s="6" t="s">
        <v>82</v>
      </c>
      <c r="E22" s="6" t="s">
        <v>82</v>
      </c>
      <c r="F22" s="6" t="s">
        <v>82</v>
      </c>
      <c r="G22" s="6" t="s">
        <v>82</v>
      </c>
    </row>
    <row r="23" spans="1:7" x14ac:dyDescent="0.25">
      <c r="A23" s="109"/>
      <c r="B23" s="5" t="s">
        <v>12</v>
      </c>
      <c r="C23" s="11" t="s">
        <v>35</v>
      </c>
      <c r="D23" s="11" t="s">
        <v>35</v>
      </c>
      <c r="E23" s="11" t="s">
        <v>35</v>
      </c>
      <c r="F23" s="11" t="s">
        <v>35</v>
      </c>
      <c r="G23" s="7">
        <f>-$D$4*0.025</f>
        <v>-4125</v>
      </c>
    </row>
    <row r="24" spans="1:7" x14ac:dyDescent="0.25">
      <c r="A24" s="109"/>
      <c r="B24" s="5" t="s">
        <v>37</v>
      </c>
      <c r="C24" s="11"/>
      <c r="D24" s="11"/>
      <c r="E24" s="11"/>
      <c r="F24" s="6" t="s">
        <v>38</v>
      </c>
      <c r="G24" s="7" t="s">
        <v>81</v>
      </c>
    </row>
    <row r="25" spans="1:7" x14ac:dyDescent="0.25">
      <c r="A25" s="109"/>
      <c r="B25" s="5" t="s">
        <v>13</v>
      </c>
      <c r="C25" s="6"/>
      <c r="D25" s="6"/>
      <c r="E25" s="6"/>
      <c r="F25" s="6"/>
      <c r="G25" s="7">
        <f>-($D$4*0.85*0.033+$F$9*0.2)</f>
        <v>-6648.25</v>
      </c>
    </row>
    <row r="26" spans="1:7" s="2" customFormat="1" x14ac:dyDescent="0.25">
      <c r="A26" s="109"/>
      <c r="B26" s="8" t="s">
        <v>17</v>
      </c>
      <c r="C26" s="6"/>
      <c r="D26" s="6"/>
      <c r="E26" s="6"/>
      <c r="F26" s="6"/>
      <c r="G26" s="7">
        <f>-(G19+G20+G21)*12-G23</f>
        <v>-3203.7000000000007</v>
      </c>
    </row>
    <row r="27" spans="1:7" s="2" customFormat="1" x14ac:dyDescent="0.25">
      <c r="A27" s="109"/>
      <c r="B27" s="8" t="s">
        <v>18</v>
      </c>
      <c r="C27" s="6"/>
      <c r="D27" s="6"/>
      <c r="E27" s="6"/>
      <c r="F27" s="6"/>
      <c r="G27" s="7">
        <f>(G25-G26)</f>
        <v>-3444.5499999999993</v>
      </c>
    </row>
    <row r="28" spans="1:7" x14ac:dyDescent="0.25">
      <c r="A28" s="109"/>
      <c r="B28" s="5" t="s">
        <v>28</v>
      </c>
      <c r="C28" s="9">
        <f>SUM(C19:C23)*12</f>
        <v>6936</v>
      </c>
      <c r="D28" s="9">
        <f>SUM(D19:D23)*12</f>
        <v>6936</v>
      </c>
      <c r="E28" s="9">
        <f>SUM(E19:E23)*12</f>
        <v>6376.32</v>
      </c>
      <c r="F28" s="9">
        <f>SUM(F19:F22)*12</f>
        <v>7328.7000000000007</v>
      </c>
      <c r="G28" s="10">
        <f>SUM(G19:G22)*12</f>
        <v>7328.7000000000007</v>
      </c>
    </row>
    <row r="29" spans="1:7" x14ac:dyDescent="0.25">
      <c r="A29" s="109"/>
      <c r="B29" s="5" t="s">
        <v>15</v>
      </c>
      <c r="C29" s="9"/>
      <c r="D29" s="9"/>
      <c r="E29" s="9">
        <f>$D$4*0.02</f>
        <v>3300</v>
      </c>
      <c r="F29" s="9"/>
      <c r="G29" s="10"/>
    </row>
    <row r="30" spans="1:7" x14ac:dyDescent="0.25">
      <c r="A30" s="109"/>
      <c r="B30" s="5" t="s">
        <v>14</v>
      </c>
      <c r="C30" s="9">
        <f>-C28*0.455</f>
        <v>-3155.88</v>
      </c>
      <c r="D30" s="9">
        <f>-D19*12*0.7*0.455</f>
        <v>-2598.96</v>
      </c>
      <c r="E30" s="9">
        <f>-E28*0.455</f>
        <v>-2901.2255999999998</v>
      </c>
      <c r="F30" s="9">
        <f>-F19*12*0.455/2</f>
        <v>-2088.4500000000003</v>
      </c>
      <c r="G30" s="10">
        <v>0</v>
      </c>
    </row>
    <row r="31" spans="1:7" s="40" customFormat="1" x14ac:dyDescent="0.25">
      <c r="A31" s="109"/>
      <c r="B31" s="37" t="s">
        <v>16</v>
      </c>
      <c r="C31" s="38">
        <f>SUM(C28:C30)</f>
        <v>3780.12</v>
      </c>
      <c r="D31" s="38">
        <f>SUM(D28:D30)</f>
        <v>4337.04</v>
      </c>
      <c r="E31" s="38">
        <f>SUM(E28:E30)</f>
        <v>6775.0944</v>
      </c>
      <c r="F31" s="38">
        <f>SUM(F28:F30)</f>
        <v>5240.25</v>
      </c>
      <c r="G31" s="39">
        <f>SUM(G19:G22)*12</f>
        <v>7328.7000000000007</v>
      </c>
    </row>
    <row r="32" spans="1:7" s="40" customFormat="1" ht="15.75" thickBot="1" x14ac:dyDescent="0.3">
      <c r="A32" s="110"/>
      <c r="B32" s="41" t="s">
        <v>69</v>
      </c>
      <c r="C32" s="42">
        <f>C31/($D$4*1.025)</f>
        <v>2.2351042128603109E-2</v>
      </c>
      <c r="D32" s="42">
        <f>D31/($D$4*1.025)</f>
        <v>2.5643991130820405E-2</v>
      </c>
      <c r="E32" s="42">
        <f>E31/($D$4*1.025)</f>
        <v>4.0059686031042138E-2</v>
      </c>
      <c r="F32" s="42">
        <f>F31/($D$4*1.025+$F$9)</f>
        <v>2.9238387501743623E-2</v>
      </c>
      <c r="G32" s="43">
        <f>G31/($D$4*1.025+$F$9)</f>
        <v>4.0891058725066265E-2</v>
      </c>
    </row>
    <row r="33" spans="1:8" x14ac:dyDescent="0.25">
      <c r="A33" s="109" t="s">
        <v>19</v>
      </c>
      <c r="B33" s="5" t="s">
        <v>6</v>
      </c>
      <c r="C33" s="4">
        <f>C18*1.01</f>
        <v>686.8</v>
      </c>
      <c r="D33" s="4">
        <f>D18*1.01</f>
        <v>686.8</v>
      </c>
      <c r="E33" s="4">
        <f>E18*1.01</f>
        <v>633.27</v>
      </c>
      <c r="F33" s="4">
        <f>F18*1.01</f>
        <v>858.5</v>
      </c>
      <c r="G33" s="10">
        <f>G18*1.01</f>
        <v>858.5</v>
      </c>
    </row>
    <row r="34" spans="1:8" x14ac:dyDescent="0.25">
      <c r="A34" s="109"/>
      <c r="B34" s="5" t="s">
        <v>55</v>
      </c>
      <c r="C34" s="9">
        <f>C33</f>
        <v>686.8</v>
      </c>
      <c r="D34" s="9">
        <f t="shared" ref="D34:E34" si="1">D33</f>
        <v>686.8</v>
      </c>
      <c r="E34" s="9">
        <f t="shared" si="1"/>
        <v>633.27</v>
      </c>
      <c r="F34" s="27">
        <f>F33*0.9</f>
        <v>772.65</v>
      </c>
      <c r="G34" s="28">
        <f>G33*0.9</f>
        <v>772.65</v>
      </c>
    </row>
    <row r="35" spans="1:8" x14ac:dyDescent="0.25">
      <c r="A35" s="109"/>
      <c r="B35" s="5" t="s">
        <v>8</v>
      </c>
      <c r="C35" s="6">
        <f>-C34*0.12</f>
        <v>-82.415999999999997</v>
      </c>
      <c r="D35" s="6">
        <f t="shared" ref="D35" si="2">-D34*0.12</f>
        <v>-82.415999999999997</v>
      </c>
      <c r="E35" s="6">
        <f t="shared" ref="E35" si="3">-E34*0.12</f>
        <v>-75.992399999999989</v>
      </c>
      <c r="F35" s="7">
        <f>-F34*0.175</f>
        <v>-135.21374999999998</v>
      </c>
      <c r="G35" s="7">
        <f>-G34*0.175</f>
        <v>-135.21374999999998</v>
      </c>
    </row>
    <row r="36" spans="1:8" x14ac:dyDescent="0.25">
      <c r="A36" s="109"/>
      <c r="B36" s="5" t="s">
        <v>9</v>
      </c>
      <c r="C36" s="6">
        <f>-C33*0.03</f>
        <v>-20.603999999999999</v>
      </c>
      <c r="D36" s="6">
        <f>-D33*0.03</f>
        <v>-20.603999999999999</v>
      </c>
      <c r="E36" s="6">
        <f>C36</f>
        <v>-20.603999999999999</v>
      </c>
      <c r="F36" s="6">
        <f>C36</f>
        <v>-20.603999999999999</v>
      </c>
      <c r="G36" s="7">
        <f>C36</f>
        <v>-20.603999999999999</v>
      </c>
    </row>
    <row r="37" spans="1:8" x14ac:dyDescent="0.25">
      <c r="A37" s="109"/>
      <c r="B37" s="5" t="s">
        <v>10</v>
      </c>
      <c r="C37" s="6" t="s">
        <v>82</v>
      </c>
      <c r="D37" s="6" t="s">
        <v>82</v>
      </c>
      <c r="E37" s="6" t="s">
        <v>82</v>
      </c>
      <c r="F37" s="6" t="s">
        <v>82</v>
      </c>
      <c r="G37" s="6" t="s">
        <v>82</v>
      </c>
    </row>
    <row r="38" spans="1:8" x14ac:dyDescent="0.25">
      <c r="A38" s="109"/>
      <c r="B38" s="5" t="s">
        <v>37</v>
      </c>
      <c r="C38" s="11"/>
      <c r="D38" s="11"/>
      <c r="E38" s="11"/>
      <c r="F38" s="6" t="s">
        <v>40</v>
      </c>
      <c r="G38" s="7">
        <v>-175</v>
      </c>
    </row>
    <row r="39" spans="1:8" x14ac:dyDescent="0.25">
      <c r="A39" s="109"/>
      <c r="B39" s="5" t="s">
        <v>13</v>
      </c>
      <c r="C39" s="6"/>
      <c r="D39" s="6"/>
      <c r="E39" s="6"/>
      <c r="F39" s="6"/>
      <c r="G39" s="7">
        <f>-($D$4*0.85*0.033+$F$9*0.2)</f>
        <v>-6648.25</v>
      </c>
    </row>
    <row r="40" spans="1:8" x14ac:dyDescent="0.25">
      <c r="A40" s="109"/>
      <c r="B40" s="5" t="s">
        <v>39</v>
      </c>
      <c r="C40" s="6"/>
      <c r="D40" s="6"/>
      <c r="E40" s="6"/>
      <c r="F40" s="6"/>
      <c r="G40" s="7">
        <f>G27</f>
        <v>-3444.5499999999993</v>
      </c>
    </row>
    <row r="41" spans="1:8" s="2" customFormat="1" x14ac:dyDescent="0.25">
      <c r="A41" s="109"/>
      <c r="B41" s="8" t="s">
        <v>17</v>
      </c>
      <c r="C41" s="6"/>
      <c r="D41" s="6"/>
      <c r="E41" s="6"/>
      <c r="F41" s="6"/>
      <c r="G41" s="7">
        <f>-(G34+G35+G36)*12-G38</f>
        <v>-7226.9869999999992</v>
      </c>
      <c r="H41" s="12"/>
    </row>
    <row r="42" spans="1:8" s="2" customFormat="1" x14ac:dyDescent="0.25">
      <c r="A42" s="109"/>
      <c r="B42" s="8" t="s">
        <v>18</v>
      </c>
      <c r="C42" s="6"/>
      <c r="D42" s="6"/>
      <c r="E42" s="6"/>
      <c r="F42" s="6"/>
      <c r="G42" s="7">
        <f>G39+G40-G41</f>
        <v>-2865.8130000000001</v>
      </c>
    </row>
    <row r="43" spans="1:8" x14ac:dyDescent="0.25">
      <c r="A43" s="109"/>
      <c r="B43" s="5" t="s">
        <v>28</v>
      </c>
      <c r="C43" s="9">
        <f>SUM(C34:C38)*12</f>
        <v>7005.36</v>
      </c>
      <c r="D43" s="9">
        <f>SUM(D34:D38)*12</f>
        <v>7005.36</v>
      </c>
      <c r="E43" s="9">
        <f>SUM(E34:E38)*12</f>
        <v>6440.0831999999991</v>
      </c>
      <c r="F43" s="9">
        <f>SUM(F34:F37)*12</f>
        <v>7401.9869999999992</v>
      </c>
      <c r="G43" s="10">
        <f>SUM(G34:G37)*12+G38</f>
        <v>7226.9869999999992</v>
      </c>
    </row>
    <row r="44" spans="1:8" x14ac:dyDescent="0.25">
      <c r="A44" s="109"/>
      <c r="B44" s="5" t="s">
        <v>15</v>
      </c>
      <c r="C44" s="9"/>
      <c r="D44" s="9"/>
      <c r="E44" s="9">
        <f>$D$4*0.02</f>
        <v>3300</v>
      </c>
      <c r="F44" s="9"/>
      <c r="G44" s="10"/>
    </row>
    <row r="45" spans="1:8" x14ac:dyDescent="0.25">
      <c r="A45" s="109"/>
      <c r="B45" s="5" t="s">
        <v>14</v>
      </c>
      <c r="C45" s="9">
        <f>-C43*0.455</f>
        <v>-3187.4387999999999</v>
      </c>
      <c r="D45" s="9">
        <f>-D34*12*0.7*0.455</f>
        <v>-2624.9495999999995</v>
      </c>
      <c r="E45" s="9">
        <f>-E43*0.455</f>
        <v>-2930.2378559999997</v>
      </c>
      <c r="F45" s="9">
        <f>-F34*12*0.455/2</f>
        <v>-2109.3344999999999</v>
      </c>
      <c r="G45" s="10">
        <v>0</v>
      </c>
    </row>
    <row r="46" spans="1:8" s="40" customFormat="1" x14ac:dyDescent="0.25">
      <c r="A46" s="109"/>
      <c r="B46" s="37" t="s">
        <v>16</v>
      </c>
      <c r="C46" s="38">
        <f>SUM(C43:C45)</f>
        <v>3817.9211999999998</v>
      </c>
      <c r="D46" s="38">
        <f>SUM(D43:D45)</f>
        <v>4380.4104000000007</v>
      </c>
      <c r="E46" s="38">
        <f>SUM(E43:E45)</f>
        <v>6809.8453439999994</v>
      </c>
      <c r="F46" s="38">
        <f>SUM(F43:F45)</f>
        <v>5292.6524999999992</v>
      </c>
      <c r="G46" s="39">
        <f>SUM(G43:G45)</f>
        <v>7226.9869999999992</v>
      </c>
    </row>
    <row r="47" spans="1:8" s="40" customFormat="1" ht="15.75" thickBot="1" x14ac:dyDescent="0.3">
      <c r="A47" s="110"/>
      <c r="B47" s="41" t="s">
        <v>69</v>
      </c>
      <c r="C47" s="42">
        <f>C46/($D$4*1.025)</f>
        <v>2.2574552549889139E-2</v>
      </c>
      <c r="D47" s="42">
        <f>D46/($D$4*1.025)</f>
        <v>2.5900431042128611E-2</v>
      </c>
      <c r="E47" s="42">
        <f>E46/($D$4*1.025)</f>
        <v>4.0265160940133042E-2</v>
      </c>
      <c r="F47" s="42">
        <f>F46/($D$4*1.025+$F$9)</f>
        <v>2.9530771376761054E-2</v>
      </c>
      <c r="G47" s="43">
        <f>G46/($D$4*1.025+$F$9)</f>
        <v>4.0323543032501047E-2</v>
      </c>
    </row>
    <row r="48" spans="1:8" x14ac:dyDescent="0.25">
      <c r="A48" s="108" t="s">
        <v>20</v>
      </c>
      <c r="B48" s="3" t="s">
        <v>6</v>
      </c>
      <c r="C48" s="4">
        <f>C33*1.01</f>
        <v>693.66800000000001</v>
      </c>
      <c r="D48" s="4">
        <f>D33*1.01</f>
        <v>693.66800000000001</v>
      </c>
      <c r="E48" s="4">
        <f>E33*1.01</f>
        <v>639.60270000000003</v>
      </c>
      <c r="F48" s="4">
        <f>F33*1.01</f>
        <v>867.08500000000004</v>
      </c>
      <c r="G48" s="10">
        <f>G33*1.01</f>
        <v>867.08500000000004</v>
      </c>
    </row>
    <row r="49" spans="1:7" x14ac:dyDescent="0.25">
      <c r="A49" s="109"/>
      <c r="B49" s="5" t="s">
        <v>55</v>
      </c>
      <c r="C49" s="9">
        <f>C48*10/12</f>
        <v>578.05666666666673</v>
      </c>
      <c r="D49" s="9">
        <f t="shared" ref="D49:E49" si="4">D48*10/12</f>
        <v>578.05666666666673</v>
      </c>
      <c r="E49" s="9">
        <f t="shared" si="4"/>
        <v>533.00225</v>
      </c>
      <c r="F49" s="27">
        <f>F48*0.9</f>
        <v>780.37650000000008</v>
      </c>
      <c r="G49" s="28">
        <f>G48*0.9</f>
        <v>780.37650000000008</v>
      </c>
    </row>
    <row r="50" spans="1:7" x14ac:dyDescent="0.25">
      <c r="A50" s="109"/>
      <c r="B50" s="5" t="s">
        <v>8</v>
      </c>
      <c r="C50" s="6">
        <f>-C49*0.12</f>
        <v>-69.366799999999998</v>
      </c>
      <c r="D50" s="6">
        <f t="shared" ref="D50" si="5">-D49*0.12</f>
        <v>-69.366799999999998</v>
      </c>
      <c r="E50" s="6">
        <f t="shared" ref="E50" si="6">-E49*0.12</f>
        <v>-63.960270000000001</v>
      </c>
      <c r="F50" s="7">
        <f>-F49*0.175</f>
        <v>-136.5658875</v>
      </c>
      <c r="G50" s="7">
        <f>-G49*0.175</f>
        <v>-136.5658875</v>
      </c>
    </row>
    <row r="51" spans="1:7" x14ac:dyDescent="0.25">
      <c r="A51" s="109"/>
      <c r="B51" s="5" t="s">
        <v>9</v>
      </c>
      <c r="C51" s="6">
        <f>-C48*0.03</f>
        <v>-20.810040000000001</v>
      </c>
      <c r="D51" s="6">
        <f>-D48*0.03</f>
        <v>-20.810040000000001</v>
      </c>
      <c r="E51" s="6">
        <f>C51</f>
        <v>-20.810040000000001</v>
      </c>
      <c r="F51" s="6">
        <f>C51</f>
        <v>-20.810040000000001</v>
      </c>
      <c r="G51" s="7">
        <f>C51</f>
        <v>-20.810040000000001</v>
      </c>
    </row>
    <row r="52" spans="1:7" x14ac:dyDescent="0.25">
      <c r="A52" s="109"/>
      <c r="B52" s="5" t="s">
        <v>21</v>
      </c>
      <c r="C52" s="6">
        <f>-$F$10/12</f>
        <v>-58.333333333333336</v>
      </c>
      <c r="D52" s="6">
        <f>-$F$10/12</f>
        <v>-58.333333333333336</v>
      </c>
      <c r="E52" s="6">
        <f t="shared" ref="E52:G52" si="7">-$F$10/12</f>
        <v>-58.333333333333336</v>
      </c>
      <c r="F52" s="6">
        <f t="shared" si="7"/>
        <v>-58.333333333333336</v>
      </c>
      <c r="G52" s="7">
        <f t="shared" si="7"/>
        <v>-58.333333333333336</v>
      </c>
    </row>
    <row r="53" spans="1:7" x14ac:dyDescent="0.25">
      <c r="A53" s="109"/>
      <c r="B53" s="5" t="s">
        <v>37</v>
      </c>
      <c r="C53" s="11"/>
      <c r="D53" s="11"/>
      <c r="E53" s="11"/>
      <c r="F53" s="6" t="s">
        <v>41</v>
      </c>
      <c r="G53" s="7">
        <f>G38*1.01</f>
        <v>-176.75</v>
      </c>
    </row>
    <row r="54" spans="1:7" x14ac:dyDescent="0.25">
      <c r="A54" s="109"/>
      <c r="B54" s="5" t="s">
        <v>13</v>
      </c>
      <c r="C54" s="6"/>
      <c r="D54" s="6"/>
      <c r="E54" s="6"/>
      <c r="F54" s="6"/>
      <c r="G54" s="7">
        <f>-($D$4*0.85*0.033+$F$9*0.2)</f>
        <v>-6648.25</v>
      </c>
    </row>
    <row r="55" spans="1:7" x14ac:dyDescent="0.25">
      <c r="A55" s="109"/>
      <c r="B55" s="5" t="s">
        <v>39</v>
      </c>
      <c r="C55" s="6"/>
      <c r="D55" s="6"/>
      <c r="E55" s="6"/>
      <c r="F55" s="6"/>
      <c r="G55" s="7">
        <f>G42</f>
        <v>-2865.8130000000001</v>
      </c>
    </row>
    <row r="56" spans="1:7" s="2" customFormat="1" x14ac:dyDescent="0.25">
      <c r="A56" s="109"/>
      <c r="B56" s="8" t="s">
        <v>17</v>
      </c>
      <c r="C56" s="6"/>
      <c r="D56" s="6"/>
      <c r="E56" s="6"/>
      <c r="F56" s="6"/>
      <c r="G56" s="7">
        <f>MAX(-(G49+G50+G51+G52)*12-G53, (G54+G55))</f>
        <v>-6599.2568700000011</v>
      </c>
    </row>
    <row r="57" spans="1:7" s="2" customFormat="1" x14ac:dyDescent="0.25">
      <c r="A57" s="109"/>
      <c r="B57" s="8" t="s">
        <v>18</v>
      </c>
      <c r="C57" s="6"/>
      <c r="D57" s="6"/>
      <c r="E57" s="6"/>
      <c r="F57" s="6"/>
      <c r="G57" s="7">
        <f>G54+G55-G56</f>
        <v>-2914.806129999999</v>
      </c>
    </row>
    <row r="58" spans="1:7" x14ac:dyDescent="0.25">
      <c r="A58" s="109"/>
      <c r="B58" s="5" t="s">
        <v>28</v>
      </c>
      <c r="C58" s="9">
        <f>SUM(C49:C53)*12</f>
        <v>5154.5579200000011</v>
      </c>
      <c r="D58" s="9">
        <f>SUM(D49:D53)*12</f>
        <v>5154.5579200000011</v>
      </c>
      <c r="E58" s="9">
        <f>SUM(E49:E53)*12</f>
        <v>4678.7832800000006</v>
      </c>
      <c r="F58" s="9">
        <f>SUM(F49:F52)*12</f>
        <v>6776.0068700000011</v>
      </c>
      <c r="G58" s="10">
        <f>SUM(G49:G52)*12+G53</f>
        <v>6599.2568700000011</v>
      </c>
    </row>
    <row r="59" spans="1:7" x14ac:dyDescent="0.25">
      <c r="A59" s="109"/>
      <c r="B59" s="5" t="s">
        <v>15</v>
      </c>
      <c r="C59" s="9"/>
      <c r="D59" s="9"/>
      <c r="E59" s="9">
        <f>$D$4*0.02</f>
        <v>3300</v>
      </c>
      <c r="F59" s="9"/>
      <c r="G59" s="10"/>
    </row>
    <row r="60" spans="1:7" x14ac:dyDescent="0.25">
      <c r="A60" s="109"/>
      <c r="B60" s="5" t="s">
        <v>14</v>
      </c>
      <c r="C60" s="9">
        <f>-C58*0.455</f>
        <v>-2345.3238536000008</v>
      </c>
      <c r="D60" s="9">
        <f>-D49*12*0.7*0.455</f>
        <v>-2209.3325799999998</v>
      </c>
      <c r="E60" s="9">
        <f>-E58*0.455</f>
        <v>-2128.8463924000002</v>
      </c>
      <c r="F60" s="9">
        <f>-F49*12*0.455/2</f>
        <v>-2130.4278450000002</v>
      </c>
      <c r="G60" s="10">
        <v>0</v>
      </c>
    </row>
    <row r="61" spans="1:7" s="40" customFormat="1" x14ac:dyDescent="0.25">
      <c r="A61" s="109"/>
      <c r="B61" s="37" t="s">
        <v>16</v>
      </c>
      <c r="C61" s="38">
        <f>SUM(C58:C60)</f>
        <v>2809.2340664000003</v>
      </c>
      <c r="D61" s="38">
        <f>SUM(D58:D60)</f>
        <v>2945.2253400000013</v>
      </c>
      <c r="E61" s="38">
        <f>SUM(E58:E60)</f>
        <v>5849.9368876000008</v>
      </c>
      <c r="F61" s="38">
        <f>SUM(F58:F60)</f>
        <v>4645.5790250000009</v>
      </c>
      <c r="G61" s="39">
        <f>SUM(G58:G60)</f>
        <v>6599.2568700000011</v>
      </c>
    </row>
    <row r="62" spans="1:7" s="40" customFormat="1" ht="15.75" thickBot="1" x14ac:dyDescent="0.3">
      <c r="A62" s="110"/>
      <c r="B62" s="41" t="s">
        <v>69</v>
      </c>
      <c r="C62" s="42">
        <f>C61/($D$4*1.025)</f>
        <v>1.6610400983887663E-2</v>
      </c>
      <c r="D62" s="42">
        <f>D61/($D$4*1.025)</f>
        <v>1.7414488337028834E-2</v>
      </c>
      <c r="E62" s="42">
        <f>E61/($D$4*1.025)</f>
        <v>3.4589427273318561E-2</v>
      </c>
      <c r="F62" s="42">
        <f>F61/($D$4*1.025+$F$9)</f>
        <v>2.5920373971265179E-2</v>
      </c>
      <c r="G62" s="43">
        <f>G61/($D$4*1.025+$F$9)</f>
        <v>3.682107334356257E-2</v>
      </c>
    </row>
    <row r="63" spans="1:7" x14ac:dyDescent="0.25">
      <c r="A63" s="108" t="s">
        <v>22</v>
      </c>
      <c r="B63" s="3" t="s">
        <v>6</v>
      </c>
      <c r="C63" s="4">
        <f>C48*1.01</f>
        <v>700.60468000000003</v>
      </c>
      <c r="D63" s="4">
        <f>D48*1.01</f>
        <v>700.60468000000003</v>
      </c>
      <c r="E63" s="4">
        <f>E48*1.01</f>
        <v>645.99872700000003</v>
      </c>
      <c r="F63" s="4">
        <f>F48*1.01</f>
        <v>875.75585000000001</v>
      </c>
      <c r="G63" s="10">
        <f>G48*1.01</f>
        <v>875.75585000000001</v>
      </c>
    </row>
    <row r="64" spans="1:7" x14ac:dyDescent="0.25">
      <c r="A64" s="109"/>
      <c r="B64" s="5" t="s">
        <v>55</v>
      </c>
      <c r="C64" s="9">
        <f>C63</f>
        <v>700.60468000000003</v>
      </c>
      <c r="D64" s="9">
        <f t="shared" ref="D64" si="8">D63</f>
        <v>700.60468000000003</v>
      </c>
      <c r="E64" s="9">
        <f t="shared" ref="E64" si="9">E63</f>
        <v>645.99872700000003</v>
      </c>
      <c r="F64" s="27">
        <f>F63*0.9</f>
        <v>788.18026500000008</v>
      </c>
      <c r="G64" s="28">
        <f>G63*0.9</f>
        <v>788.18026500000008</v>
      </c>
    </row>
    <row r="65" spans="1:7" x14ac:dyDescent="0.25">
      <c r="A65" s="109"/>
      <c r="B65" s="5" t="s">
        <v>8</v>
      </c>
      <c r="C65" s="6">
        <f>-C64*0.12</f>
        <v>-84.0725616</v>
      </c>
      <c r="D65" s="6">
        <f t="shared" ref="D65" si="10">-D64*0.12</f>
        <v>-84.0725616</v>
      </c>
      <c r="E65" s="6">
        <f t="shared" ref="E65" si="11">-E64*0.12</f>
        <v>-77.519847240000004</v>
      </c>
      <c r="F65" s="7">
        <f>-F64*0.175</f>
        <v>-137.93154637500001</v>
      </c>
      <c r="G65" s="7">
        <f>-G64*0.175</f>
        <v>-137.93154637500001</v>
      </c>
    </row>
    <row r="66" spans="1:7" x14ac:dyDescent="0.25">
      <c r="A66" s="109"/>
      <c r="B66" s="5" t="s">
        <v>9</v>
      </c>
      <c r="C66" s="6">
        <f>-C63*0.03</f>
        <v>-21.0181404</v>
      </c>
      <c r="D66" s="6">
        <f>-D63*0.03</f>
        <v>-21.0181404</v>
      </c>
      <c r="E66" s="6">
        <f>C66</f>
        <v>-21.0181404</v>
      </c>
      <c r="F66" s="6">
        <f>C66</f>
        <v>-21.0181404</v>
      </c>
      <c r="G66" s="7">
        <f>C66</f>
        <v>-21.0181404</v>
      </c>
    </row>
    <row r="67" spans="1:7" x14ac:dyDescent="0.25">
      <c r="A67" s="109"/>
      <c r="B67" s="5" t="s">
        <v>21</v>
      </c>
      <c r="C67" s="6">
        <f>-$F$10/12</f>
        <v>-58.333333333333336</v>
      </c>
      <c r="D67" s="6">
        <f>-$F$10/12</f>
        <v>-58.333333333333336</v>
      </c>
      <c r="E67" s="6">
        <f t="shared" ref="E67:G67" si="12">-$F$10/12</f>
        <v>-58.333333333333336</v>
      </c>
      <c r="F67" s="6">
        <f t="shared" si="12"/>
        <v>-58.333333333333336</v>
      </c>
      <c r="G67" s="7">
        <f t="shared" si="12"/>
        <v>-58.333333333333336</v>
      </c>
    </row>
    <row r="68" spans="1:7" x14ac:dyDescent="0.25">
      <c r="A68" s="109"/>
      <c r="B68" s="5" t="s">
        <v>37</v>
      </c>
      <c r="C68" s="11"/>
      <c r="D68" s="11"/>
      <c r="E68" s="11"/>
      <c r="F68" s="6">
        <f>G68</f>
        <v>-178.51750000000001</v>
      </c>
      <c r="G68" s="7">
        <f>G53*1.01</f>
        <v>-178.51750000000001</v>
      </c>
    </row>
    <row r="69" spans="1:7" x14ac:dyDescent="0.25">
      <c r="A69" s="109"/>
      <c r="B69" s="5" t="s">
        <v>13</v>
      </c>
      <c r="C69" s="6"/>
      <c r="D69" s="6"/>
      <c r="E69" s="6"/>
      <c r="F69" s="6"/>
      <c r="G69" s="7">
        <f>-($D$4*0.85*0.033+$F$9*0.2)</f>
        <v>-6648.25</v>
      </c>
    </row>
    <row r="70" spans="1:7" x14ac:dyDescent="0.25">
      <c r="A70" s="109"/>
      <c r="B70" s="5" t="s">
        <v>39</v>
      </c>
      <c r="C70" s="6"/>
      <c r="D70" s="6"/>
      <c r="E70" s="6"/>
      <c r="F70" s="6"/>
      <c r="G70" s="7">
        <f>G57</f>
        <v>-2914.806129999999</v>
      </c>
    </row>
    <row r="71" spans="1:7" s="2" customFormat="1" x14ac:dyDescent="0.25">
      <c r="A71" s="109"/>
      <c r="B71" s="8" t="s">
        <v>17</v>
      </c>
      <c r="C71" s="6"/>
      <c r="D71" s="6"/>
      <c r="E71" s="6"/>
      <c r="F71" s="6"/>
      <c r="G71" s="7">
        <f>MAX(-(G64+G65+G66+G67)*12-G68, (G69+G70))</f>
        <v>-6672.2494387000006</v>
      </c>
    </row>
    <row r="72" spans="1:7" s="2" customFormat="1" x14ac:dyDescent="0.25">
      <c r="A72" s="109"/>
      <c r="B72" s="8" t="s">
        <v>18</v>
      </c>
      <c r="C72" s="6"/>
      <c r="D72" s="6"/>
      <c r="E72" s="6"/>
      <c r="F72" s="6"/>
      <c r="G72" s="7">
        <f>G69+G70-G71</f>
        <v>-2890.8066912999984</v>
      </c>
    </row>
    <row r="73" spans="1:7" x14ac:dyDescent="0.25">
      <c r="A73" s="109"/>
      <c r="B73" s="5" t="s">
        <v>28</v>
      </c>
      <c r="C73" s="9">
        <f>SUM(C64:C67)*12</f>
        <v>6446.1677360000003</v>
      </c>
      <c r="D73" s="9">
        <f>SUM(D64:D68)*12</f>
        <v>6446.1677360000003</v>
      </c>
      <c r="E73" s="9">
        <f>SUM(E64:E67)*12</f>
        <v>5869.528872320001</v>
      </c>
      <c r="F73" s="9">
        <f>SUM(F64:F67)*12+F68</f>
        <v>6672.2494387000006</v>
      </c>
      <c r="G73" s="10">
        <f>SUM(G64:G67)*12+G68</f>
        <v>6672.2494387000006</v>
      </c>
    </row>
    <row r="74" spans="1:7" x14ac:dyDescent="0.25">
      <c r="A74" s="109"/>
      <c r="B74" s="5" t="s">
        <v>15</v>
      </c>
      <c r="C74" s="9"/>
      <c r="D74" s="9"/>
      <c r="E74" s="9">
        <f>$D$4*0.02</f>
        <v>3300</v>
      </c>
      <c r="F74" s="9"/>
      <c r="G74" s="10"/>
    </row>
    <row r="75" spans="1:7" x14ac:dyDescent="0.25">
      <c r="A75" s="109"/>
      <c r="B75" s="5" t="s">
        <v>14</v>
      </c>
      <c r="C75" s="9">
        <f>-C73*0.455</f>
        <v>-2933.0063198800003</v>
      </c>
      <c r="D75" s="9">
        <f>-D64*12*0.7*0.455</f>
        <v>-2677.7110869600001</v>
      </c>
      <c r="E75" s="9">
        <f>-E73*0.455</f>
        <v>-2670.6356369056007</v>
      </c>
      <c r="F75" s="9">
        <f>-F63*12*0.455/2</f>
        <v>-2390.8134705000002</v>
      </c>
      <c r="G75" s="10">
        <v>0</v>
      </c>
    </row>
    <row r="76" spans="1:7" s="40" customFormat="1" x14ac:dyDescent="0.25">
      <c r="A76" s="109"/>
      <c r="B76" s="37" t="s">
        <v>16</v>
      </c>
      <c r="C76" s="38">
        <f>SUM(C73:C75)</f>
        <v>3513.16141612</v>
      </c>
      <c r="D76" s="38">
        <f>SUM(D73:D75)</f>
        <v>3768.4566490400002</v>
      </c>
      <c r="E76" s="38">
        <f>SUM(E73:E75)</f>
        <v>6498.8932354143999</v>
      </c>
      <c r="F76" s="38">
        <f>SUM(F73:F75)</f>
        <v>4281.4359682000004</v>
      </c>
      <c r="G76" s="39">
        <f>SUM(G73:G75)</f>
        <v>6672.2494387000006</v>
      </c>
    </row>
    <row r="77" spans="1:7" s="40" customFormat="1" ht="15.75" thickBot="1" x14ac:dyDescent="0.3">
      <c r="A77" s="110"/>
      <c r="B77" s="41" t="s">
        <v>69</v>
      </c>
      <c r="C77" s="42">
        <f>C76/($D$4*1.025)</f>
        <v>2.0772573044316338E-2</v>
      </c>
      <c r="D77" s="42">
        <f>D76/($D$4*1.025)</f>
        <v>2.22820792256615E-2</v>
      </c>
      <c r="E77" s="42">
        <f>E76/($D$4*1.025)</f>
        <v>3.8426567541252926E-2</v>
      </c>
      <c r="F77" s="42">
        <f>F76/($D$4*1.025+$F$9)</f>
        <v>2.3888609112568009E-2</v>
      </c>
      <c r="G77" s="43">
        <f>G76/($D$4*1.025+$F$9)</f>
        <v>3.7228341128190831E-2</v>
      </c>
    </row>
    <row r="78" spans="1:7" x14ac:dyDescent="0.25">
      <c r="A78" s="108" t="s">
        <v>23</v>
      </c>
      <c r="B78" s="3" t="s">
        <v>6</v>
      </c>
      <c r="C78" s="4">
        <f>C63*1.01</f>
        <v>707.61072680000007</v>
      </c>
      <c r="D78" s="4">
        <f>D63*1.01</f>
        <v>707.61072680000007</v>
      </c>
      <c r="E78" s="4">
        <f>E63*1.01</f>
        <v>652.45871427000009</v>
      </c>
      <c r="F78" s="4">
        <f>F63*1.01</f>
        <v>884.51340849999997</v>
      </c>
      <c r="G78" s="29">
        <f>G63*1.01</f>
        <v>884.51340849999997</v>
      </c>
    </row>
    <row r="79" spans="1:7" x14ac:dyDescent="0.25">
      <c r="A79" s="109"/>
      <c r="B79" s="5" t="s">
        <v>55</v>
      </c>
      <c r="C79" s="9">
        <f>C78</f>
        <v>707.61072680000007</v>
      </c>
      <c r="D79" s="9">
        <f t="shared" ref="D79" si="13">D78</f>
        <v>707.61072680000007</v>
      </c>
      <c r="E79" s="9">
        <f t="shared" ref="E79" si="14">E78</f>
        <v>652.45871427000009</v>
      </c>
      <c r="F79" s="27">
        <f>F78*0.9</f>
        <v>796.06206765000002</v>
      </c>
      <c r="G79" s="28">
        <f>G78*0.9</f>
        <v>796.06206765000002</v>
      </c>
    </row>
    <row r="80" spans="1:7" x14ac:dyDescent="0.25">
      <c r="A80" s="109"/>
      <c r="B80" s="5" t="s">
        <v>8</v>
      </c>
      <c r="C80" s="6">
        <f>-C79*0.12</f>
        <v>-84.913287216000001</v>
      </c>
      <c r="D80" s="6">
        <f t="shared" ref="D80" si="15">-D79*0.12</f>
        <v>-84.913287216000001</v>
      </c>
      <c r="E80" s="6">
        <f t="shared" ref="E80" si="16">-E79*0.12</f>
        <v>-78.295045712400011</v>
      </c>
      <c r="F80" s="7">
        <f>-F79*0.175</f>
        <v>-139.31086183874999</v>
      </c>
      <c r="G80" s="7">
        <f>-G79*0.175</f>
        <v>-139.31086183874999</v>
      </c>
    </row>
    <row r="81" spans="1:7" ht="15" customHeight="1" x14ac:dyDescent="0.25">
      <c r="A81" s="109"/>
      <c r="B81" s="5" t="s">
        <v>9</v>
      </c>
      <c r="C81" s="6">
        <f>-C78*0.03</f>
        <v>-21.228321804</v>
      </c>
      <c r="D81" s="6">
        <f>-D78*0.03</f>
        <v>-21.228321804</v>
      </c>
      <c r="E81" s="6">
        <f>C81</f>
        <v>-21.228321804</v>
      </c>
      <c r="F81" s="6">
        <f>C81</f>
        <v>-21.228321804</v>
      </c>
      <c r="G81" s="7">
        <f>C81</f>
        <v>-21.228321804</v>
      </c>
    </row>
    <row r="82" spans="1:7" x14ac:dyDescent="0.25">
      <c r="A82" s="109"/>
      <c r="B82" s="5" t="s">
        <v>21</v>
      </c>
      <c r="C82" s="6">
        <f>-$F$10/12</f>
        <v>-58.333333333333336</v>
      </c>
      <c r="D82" s="6">
        <f>-$F$10/12</f>
        <v>-58.333333333333336</v>
      </c>
      <c r="E82" s="6">
        <f t="shared" ref="E82:G82" si="17">-$F$10/12</f>
        <v>-58.333333333333336</v>
      </c>
      <c r="F82" s="6">
        <f t="shared" si="17"/>
        <v>-58.333333333333336</v>
      </c>
      <c r="G82" s="7">
        <f t="shared" si="17"/>
        <v>-58.333333333333336</v>
      </c>
    </row>
    <row r="83" spans="1:7" x14ac:dyDescent="0.25">
      <c r="A83" s="109"/>
      <c r="B83" s="5" t="s">
        <v>37</v>
      </c>
      <c r="C83" s="11"/>
      <c r="D83" s="11"/>
      <c r="E83" s="11"/>
      <c r="F83" s="6">
        <f>G83</f>
        <v>-180.30267500000002</v>
      </c>
      <c r="G83" s="7">
        <f>G68*1.01</f>
        <v>-180.30267500000002</v>
      </c>
    </row>
    <row r="84" spans="1:7" x14ac:dyDescent="0.25">
      <c r="A84" s="109"/>
      <c r="B84" s="5" t="s">
        <v>13</v>
      </c>
      <c r="C84" s="6"/>
      <c r="D84" s="6"/>
      <c r="E84" s="6"/>
      <c r="F84" s="6"/>
      <c r="G84" s="7">
        <f>-($D$4*0.85*0.033+$F$9*0.2)</f>
        <v>-6648.25</v>
      </c>
    </row>
    <row r="85" spans="1:7" x14ac:dyDescent="0.25">
      <c r="A85" s="109"/>
      <c r="B85" s="5" t="s">
        <v>39</v>
      </c>
      <c r="C85" s="6"/>
      <c r="D85" s="6"/>
      <c r="E85" s="6"/>
      <c r="F85" s="6"/>
      <c r="G85" s="7">
        <f>G72</f>
        <v>-2890.8066912999984</v>
      </c>
    </row>
    <row r="86" spans="1:7" s="2" customFormat="1" x14ac:dyDescent="0.25">
      <c r="A86" s="109"/>
      <c r="B86" s="8" t="s">
        <v>17</v>
      </c>
      <c r="C86" s="6"/>
      <c r="D86" s="6"/>
      <c r="E86" s="6"/>
      <c r="F86" s="6"/>
      <c r="G86" s="7">
        <f>MAX(-(G79+G80+G81+G82)*12-G83, (G84+G85))</f>
        <v>-6745.9719330870003</v>
      </c>
    </row>
    <row r="87" spans="1:7" s="2" customFormat="1" x14ac:dyDescent="0.25">
      <c r="A87" s="109"/>
      <c r="B87" s="8" t="s">
        <v>18</v>
      </c>
      <c r="C87" s="6"/>
      <c r="D87" s="6"/>
      <c r="E87" s="6"/>
      <c r="F87" s="6"/>
      <c r="G87" s="7">
        <f>G84+G85-G86</f>
        <v>-2793.0847582129982</v>
      </c>
    </row>
    <row r="88" spans="1:7" x14ac:dyDescent="0.25">
      <c r="A88" s="109"/>
      <c r="B88" s="5" t="s">
        <v>28</v>
      </c>
      <c r="C88" s="9">
        <f>SUM(C79:C82)*12</f>
        <v>6517.6294133600013</v>
      </c>
      <c r="D88" s="9">
        <f>SUM(D79:D83)*12</f>
        <v>6517.6294133600013</v>
      </c>
      <c r="E88" s="9">
        <f>SUM(E79:E82)*12</f>
        <v>5935.224161043202</v>
      </c>
      <c r="F88" s="9">
        <f>SUM(F79:F82)*12+F83</f>
        <v>6745.9719330870003</v>
      </c>
      <c r="G88" s="10">
        <f>SUM(G79:G82)*12+G83</f>
        <v>6745.9719330870003</v>
      </c>
    </row>
    <row r="89" spans="1:7" x14ac:dyDescent="0.25">
      <c r="A89" s="109"/>
      <c r="B89" s="5" t="s">
        <v>15</v>
      </c>
      <c r="C89" s="9"/>
      <c r="D89" s="9"/>
      <c r="E89" s="9">
        <f>$D$4*0.02</f>
        <v>3300</v>
      </c>
      <c r="F89" s="9"/>
      <c r="G89" s="10"/>
    </row>
    <row r="90" spans="1:7" x14ac:dyDescent="0.25">
      <c r="A90" s="109"/>
      <c r="B90" s="5" t="s">
        <v>14</v>
      </c>
      <c r="C90" s="9">
        <f>-C88*0.455</f>
        <v>-2965.5213830788007</v>
      </c>
      <c r="D90" s="9">
        <f>-D79*12*0.7*0.455</f>
        <v>-2704.4881978296003</v>
      </c>
      <c r="E90" s="9">
        <f>-E88*0.455</f>
        <v>-2700.5269932746569</v>
      </c>
      <c r="F90" s="9">
        <f>-F78*12*0.455/2</f>
        <v>-2414.7216052049998</v>
      </c>
      <c r="G90" s="10">
        <v>0</v>
      </c>
    </row>
    <row r="91" spans="1:7" s="40" customFormat="1" x14ac:dyDescent="0.25">
      <c r="A91" s="109"/>
      <c r="B91" s="37" t="s">
        <v>16</v>
      </c>
      <c r="C91" s="38">
        <f>SUM(C88:C90)</f>
        <v>3552.1080302812006</v>
      </c>
      <c r="D91" s="38">
        <f>SUM(D88:D90)</f>
        <v>3813.141215530401</v>
      </c>
      <c r="E91" s="38">
        <f>SUM(E88:E90)</f>
        <v>6534.697167768546</v>
      </c>
      <c r="F91" s="38">
        <f>SUM(F88:F90)</f>
        <v>4331.2503278820004</v>
      </c>
      <c r="G91" s="39">
        <f>SUM(G88:G90)</f>
        <v>6745.9719330870003</v>
      </c>
    </row>
    <row r="92" spans="1:7" s="40" customFormat="1" ht="15.75" thickBot="1" x14ac:dyDescent="0.3">
      <c r="A92" s="110"/>
      <c r="B92" s="41" t="s">
        <v>69</v>
      </c>
      <c r="C92" s="42">
        <f>C91/($D$4*1.025)</f>
        <v>2.1002856054877759E-2</v>
      </c>
      <c r="D92" s="42">
        <f>D91/($D$4*1.025)</f>
        <v>2.2546289522722258E-2</v>
      </c>
      <c r="E92" s="42">
        <f>E91/($D$4*1.025)</f>
        <v>3.8638268545564208E-2</v>
      </c>
      <c r="F92" s="42">
        <f>F91/($D$4*1.025+$F$9)</f>
        <v>2.4166552254886321E-2</v>
      </c>
      <c r="G92" s="43">
        <f>G91/($D$4*1.025+$F$9)</f>
        <v>3.7639681590665372E-2</v>
      </c>
    </row>
    <row r="93" spans="1:7" x14ac:dyDescent="0.25">
      <c r="A93" s="108" t="s">
        <v>24</v>
      </c>
      <c r="B93" s="3" t="s">
        <v>6</v>
      </c>
      <c r="C93" s="4">
        <f>C78*1.01</f>
        <v>714.68683406800005</v>
      </c>
      <c r="D93" s="4">
        <f>D78*1.01</f>
        <v>714.68683406800005</v>
      </c>
      <c r="E93" s="4">
        <f>E78*1.01</f>
        <v>658.98330141270014</v>
      </c>
      <c r="F93" s="4">
        <f>F78*1.01</f>
        <v>893.35854258500001</v>
      </c>
      <c r="G93" s="10">
        <f>G78*1.01</f>
        <v>893.35854258500001</v>
      </c>
    </row>
    <row r="94" spans="1:7" x14ac:dyDescent="0.25">
      <c r="A94" s="109"/>
      <c r="B94" s="5" t="s">
        <v>55</v>
      </c>
      <c r="C94" s="9">
        <f>C93*10/12</f>
        <v>595.57236172333342</v>
      </c>
      <c r="D94" s="9">
        <f t="shared" ref="D94" si="18">D93*10/12</f>
        <v>595.57236172333342</v>
      </c>
      <c r="E94" s="9">
        <f t="shared" ref="E94" si="19">E93*10/12</f>
        <v>549.15275117725014</v>
      </c>
      <c r="F94" s="27">
        <f>F93*0.9</f>
        <v>804.02268832649997</v>
      </c>
      <c r="G94" s="28">
        <f>G93*0.9</f>
        <v>804.02268832649997</v>
      </c>
    </row>
    <row r="95" spans="1:7" x14ac:dyDescent="0.25">
      <c r="A95" s="109"/>
      <c r="B95" s="5" t="s">
        <v>8</v>
      </c>
      <c r="C95" s="6">
        <f>-C94*0.12</f>
        <v>-71.468683406800011</v>
      </c>
      <c r="D95" s="6">
        <f t="shared" ref="D95" si="20">-D94*0.12</f>
        <v>-71.468683406800011</v>
      </c>
      <c r="E95" s="6">
        <f t="shared" ref="E95" si="21">-E94*0.12</f>
        <v>-65.898330141270009</v>
      </c>
      <c r="F95" s="7">
        <f>-F94*0.175</f>
        <v>-140.70397045713747</v>
      </c>
      <c r="G95" s="7">
        <f>-G94*0.175</f>
        <v>-140.70397045713747</v>
      </c>
    </row>
    <row r="96" spans="1:7" x14ac:dyDescent="0.25">
      <c r="A96" s="109"/>
      <c r="B96" s="5" t="s">
        <v>9</v>
      </c>
      <c r="C96" s="6">
        <f>-C93*0.03</f>
        <v>-21.44060502204</v>
      </c>
      <c r="D96" s="6">
        <f>-D93*0.03</f>
        <v>-21.44060502204</v>
      </c>
      <c r="E96" s="6">
        <f>C96</f>
        <v>-21.44060502204</v>
      </c>
      <c r="F96" s="6">
        <f>C96</f>
        <v>-21.44060502204</v>
      </c>
      <c r="G96" s="7">
        <f>C96</f>
        <v>-21.44060502204</v>
      </c>
    </row>
    <row r="97" spans="1:7" x14ac:dyDescent="0.25">
      <c r="A97" s="109"/>
      <c r="B97" s="5" t="s">
        <v>21</v>
      </c>
      <c r="C97" s="6">
        <f>-$F$10/12</f>
        <v>-58.333333333333336</v>
      </c>
      <c r="D97" s="6">
        <f>-$F$10/12</f>
        <v>-58.333333333333336</v>
      </c>
      <c r="E97" s="6">
        <f t="shared" ref="E97:G97" si="22">-$F$10/12</f>
        <v>-58.333333333333336</v>
      </c>
      <c r="F97" s="6">
        <f t="shared" si="22"/>
        <v>-58.333333333333336</v>
      </c>
      <c r="G97" s="7">
        <f t="shared" si="22"/>
        <v>-58.333333333333336</v>
      </c>
    </row>
    <row r="98" spans="1:7" x14ac:dyDescent="0.25">
      <c r="A98" s="109"/>
      <c r="B98" s="5" t="s">
        <v>37</v>
      </c>
      <c r="C98" s="11"/>
      <c r="D98" s="11"/>
      <c r="E98" s="11"/>
      <c r="F98" s="6">
        <f>G98</f>
        <v>-182.10570175000004</v>
      </c>
      <c r="G98" s="7">
        <f>G83*1.01</f>
        <v>-182.10570175000004</v>
      </c>
    </row>
    <row r="99" spans="1:7" x14ac:dyDescent="0.25">
      <c r="A99" s="109"/>
      <c r="B99" s="5" t="s">
        <v>13</v>
      </c>
      <c r="C99" s="6"/>
      <c r="D99" s="6"/>
      <c r="E99" s="6"/>
      <c r="F99" s="6"/>
      <c r="G99" s="7">
        <f>-$D$4*0.033*0.85</f>
        <v>-4628.25</v>
      </c>
    </row>
    <row r="100" spans="1:7" x14ac:dyDescent="0.25">
      <c r="A100" s="109"/>
      <c r="B100" s="5" t="s">
        <v>39</v>
      </c>
      <c r="C100" s="6"/>
      <c r="D100" s="6"/>
      <c r="E100" s="6"/>
      <c r="F100" s="6"/>
      <c r="G100" s="7">
        <f>G87</f>
        <v>-2793.0847582129982</v>
      </c>
    </row>
    <row r="101" spans="1:7" s="2" customFormat="1" x14ac:dyDescent="0.25">
      <c r="A101" s="109"/>
      <c r="B101" s="8" t="s">
        <v>17</v>
      </c>
      <c r="C101" s="6"/>
      <c r="D101" s="6"/>
      <c r="E101" s="6"/>
      <c r="F101" s="6"/>
      <c r="G101" s="7">
        <f>MAX(-(G94+G95+G96+G97)*12-G98, (G99+G100))</f>
        <v>-6820.4316524178694</v>
      </c>
    </row>
    <row r="102" spans="1:7" s="2" customFormat="1" x14ac:dyDescent="0.25">
      <c r="A102" s="109"/>
      <c r="B102" s="8" t="s">
        <v>18</v>
      </c>
      <c r="C102" s="6"/>
      <c r="D102" s="6"/>
      <c r="E102" s="6"/>
      <c r="F102" s="6"/>
      <c r="G102" s="7">
        <f>G99+G100-G101</f>
        <v>-600.90310579512879</v>
      </c>
    </row>
    <row r="103" spans="1:7" x14ac:dyDescent="0.25">
      <c r="A103" s="109"/>
      <c r="B103" s="5" t="s">
        <v>28</v>
      </c>
      <c r="C103" s="9">
        <f>SUM(C94:C98)*12</f>
        <v>5331.956879533921</v>
      </c>
      <c r="D103" s="9">
        <f>SUM(D94:D98)*12</f>
        <v>5331.956879533921</v>
      </c>
      <c r="E103" s="9">
        <f>SUM(E94:E98)*12</f>
        <v>4841.7657921672817</v>
      </c>
      <c r="F103" s="9">
        <f>SUM(F94:F97)*12</f>
        <v>7002.5373541678691</v>
      </c>
      <c r="G103" s="10">
        <f>SUM(G94:G97)*12+G98</f>
        <v>6820.4316524178694</v>
      </c>
    </row>
    <row r="104" spans="1:7" x14ac:dyDescent="0.25">
      <c r="A104" s="109"/>
      <c r="B104" s="5" t="s">
        <v>15</v>
      </c>
      <c r="C104" s="9"/>
      <c r="D104" s="9"/>
      <c r="E104" s="9">
        <f>$D$4*0.02</f>
        <v>3300</v>
      </c>
      <c r="F104" s="9"/>
      <c r="G104" s="10"/>
    </row>
    <row r="105" spans="1:7" x14ac:dyDescent="0.25">
      <c r="A105" s="109"/>
      <c r="B105" s="5" t="s">
        <v>14</v>
      </c>
      <c r="C105" s="9">
        <f>-C103*0.455</f>
        <v>-2426.0403801879343</v>
      </c>
      <c r="D105" s="9">
        <f>-D94*12*0.7*0.455</f>
        <v>-2276.2775665065801</v>
      </c>
      <c r="E105" s="9">
        <f>-E103*0.455</f>
        <v>-2203.0034354361133</v>
      </c>
      <c r="F105" s="9">
        <f>-F94*12*0.455/2</f>
        <v>-2194.9819391313449</v>
      </c>
      <c r="G105" s="10">
        <v>0</v>
      </c>
    </row>
    <row r="106" spans="1:7" s="40" customFormat="1" x14ac:dyDescent="0.25">
      <c r="A106" s="109"/>
      <c r="B106" s="37" t="s">
        <v>16</v>
      </c>
      <c r="C106" s="38">
        <f>SUM(C103:C105)</f>
        <v>2905.9164993459867</v>
      </c>
      <c r="D106" s="38">
        <f>SUM(D103:D105)</f>
        <v>3055.6793130273409</v>
      </c>
      <c r="E106" s="38">
        <f>SUM(E103:E105)</f>
        <v>5938.7623567311684</v>
      </c>
      <c r="F106" s="38">
        <f>SUM(F103:F105)</f>
        <v>4807.5554150365242</v>
      </c>
      <c r="G106" s="39">
        <f>SUM(G103:G105)</f>
        <v>6820.4316524178694</v>
      </c>
    </row>
    <row r="107" spans="1:7" s="40" customFormat="1" ht="15.75" thickBot="1" x14ac:dyDescent="0.3">
      <c r="A107" s="110"/>
      <c r="B107" s="41" t="s">
        <v>69</v>
      </c>
      <c r="C107" s="42">
        <f>C106/($D$4*1.025)</f>
        <v>1.7182063558586768E-2</v>
      </c>
      <c r="D107" s="42">
        <f>D106/($D$4*1.025)</f>
        <v>1.8067579086636164E-2</v>
      </c>
      <c r="E107" s="42">
        <f>E106/($D$4*1.025)</f>
        <v>3.5114633299223472E-2</v>
      </c>
      <c r="F107" s="42">
        <f>F106/($D$4*1.025+$F$9)</f>
        <v>2.6824133993787278E-2</v>
      </c>
      <c r="G107" s="43">
        <f>G106/($D$4*1.025+$F$9)</f>
        <v>3.8055135457764656E-2</v>
      </c>
    </row>
    <row r="108" spans="1:7" x14ac:dyDescent="0.25">
      <c r="A108" s="114" t="s">
        <v>25</v>
      </c>
      <c r="B108" s="3" t="s">
        <v>6</v>
      </c>
      <c r="C108" s="4">
        <f>C93*1.01</f>
        <v>721.8337024086801</v>
      </c>
      <c r="D108" s="4">
        <f>D93*1.01</f>
        <v>721.8337024086801</v>
      </c>
      <c r="E108" s="4">
        <f>E93*1.01</f>
        <v>665.5731344268271</v>
      </c>
      <c r="F108" s="4">
        <f>F93*1.01</f>
        <v>902.29212801084998</v>
      </c>
      <c r="G108" s="29">
        <f>G93*1.01</f>
        <v>902.29212801084998</v>
      </c>
    </row>
    <row r="109" spans="1:7" x14ac:dyDescent="0.25">
      <c r="A109" s="115"/>
      <c r="B109" s="5" t="s">
        <v>55</v>
      </c>
      <c r="C109" s="9">
        <f>C108</f>
        <v>721.8337024086801</v>
      </c>
      <c r="D109" s="9">
        <f t="shared" ref="D109" si="23">D108</f>
        <v>721.8337024086801</v>
      </c>
      <c r="E109" s="9">
        <f t="shared" ref="E109" si="24">E108</f>
        <v>665.5731344268271</v>
      </c>
      <c r="F109" s="27">
        <f>F108*0.9</f>
        <v>812.06291520976504</v>
      </c>
      <c r="G109" s="28">
        <f>G108*0.9</f>
        <v>812.06291520976504</v>
      </c>
    </row>
    <row r="110" spans="1:7" x14ac:dyDescent="0.25">
      <c r="A110" s="115"/>
      <c r="B110" s="5" t="s">
        <v>8</v>
      </c>
      <c r="C110" s="6">
        <f>-C109*0.12</f>
        <v>-86.620044289041601</v>
      </c>
      <c r="D110" s="6">
        <f t="shared" ref="D110" si="25">-D109*0.12</f>
        <v>-86.620044289041601</v>
      </c>
      <c r="E110" s="6">
        <f t="shared" ref="E110" si="26">-E109*0.12</f>
        <v>-79.868776131219249</v>
      </c>
      <c r="F110" s="7">
        <f>-F109*0.175</f>
        <v>-142.11101016170886</v>
      </c>
      <c r="G110" s="7">
        <f>-G109*0.175</f>
        <v>-142.11101016170886</v>
      </c>
    </row>
    <row r="111" spans="1:7" x14ac:dyDescent="0.25">
      <c r="A111" s="115"/>
      <c r="B111" s="5" t="s">
        <v>9</v>
      </c>
      <c r="C111" s="6">
        <f>-C108*0.03</f>
        <v>-21.6550110722604</v>
      </c>
      <c r="D111" s="6">
        <f>-D108*0.03</f>
        <v>-21.6550110722604</v>
      </c>
      <c r="E111" s="6">
        <f>C111</f>
        <v>-21.6550110722604</v>
      </c>
      <c r="F111" s="6">
        <f>C111</f>
        <v>-21.6550110722604</v>
      </c>
      <c r="G111" s="7">
        <f>C111</f>
        <v>-21.6550110722604</v>
      </c>
    </row>
    <row r="112" spans="1:7" x14ac:dyDescent="0.25">
      <c r="A112" s="115"/>
      <c r="B112" s="5" t="s">
        <v>21</v>
      </c>
      <c r="C112" s="6">
        <f>-$F$10/12</f>
        <v>-58.333333333333336</v>
      </c>
      <c r="D112" s="6">
        <f>-$F$10/12</f>
        <v>-58.333333333333336</v>
      </c>
      <c r="E112" s="6">
        <f t="shared" ref="E112:G112" si="27">-$F$10/12</f>
        <v>-58.333333333333336</v>
      </c>
      <c r="F112" s="6">
        <f t="shared" si="27"/>
        <v>-58.333333333333336</v>
      </c>
      <c r="G112" s="7">
        <f t="shared" si="27"/>
        <v>-58.333333333333336</v>
      </c>
    </row>
    <row r="113" spans="1:7" x14ac:dyDescent="0.25">
      <c r="A113" s="115"/>
      <c r="B113" s="5" t="s">
        <v>37</v>
      </c>
      <c r="C113" s="11"/>
      <c r="D113" s="11"/>
      <c r="E113" s="11"/>
      <c r="F113" s="6">
        <f>G113</f>
        <v>-183.92675876750005</v>
      </c>
      <c r="G113" s="7">
        <f>G98*1.01</f>
        <v>-183.92675876750005</v>
      </c>
    </row>
    <row r="114" spans="1:7" x14ac:dyDescent="0.25">
      <c r="A114" s="115"/>
      <c r="B114" s="5" t="s">
        <v>13</v>
      </c>
      <c r="C114" s="6"/>
      <c r="D114" s="6"/>
      <c r="E114" s="6"/>
      <c r="F114" s="6"/>
      <c r="G114" s="7">
        <f>-$D$4*0.033*0.85</f>
        <v>-4628.25</v>
      </c>
    </row>
    <row r="115" spans="1:7" s="2" customFormat="1" x14ac:dyDescent="0.25">
      <c r="A115" s="115"/>
      <c r="B115" s="5" t="s">
        <v>39</v>
      </c>
      <c r="C115" s="6"/>
      <c r="D115" s="6"/>
      <c r="E115" s="6"/>
      <c r="F115" s="6"/>
      <c r="G115" s="7">
        <f>G102</f>
        <v>-600.90310579512879</v>
      </c>
    </row>
    <row r="116" spans="1:7" s="2" customFormat="1" x14ac:dyDescent="0.25">
      <c r="A116" s="115"/>
      <c r="B116" s="8" t="s">
        <v>17</v>
      </c>
      <c r="C116" s="6"/>
      <c r="D116" s="6"/>
      <c r="E116" s="6"/>
      <c r="F116" s="6"/>
      <c r="G116" s="7">
        <f>MAX(-(G109+G110+G111+G112)*12-G113, (G114+G115))</f>
        <v>-5229.1531057951288</v>
      </c>
    </row>
    <row r="117" spans="1:7" x14ac:dyDescent="0.25">
      <c r="A117" s="115"/>
      <c r="B117" s="8" t="s">
        <v>18</v>
      </c>
      <c r="C117" s="6"/>
      <c r="D117" s="6"/>
      <c r="E117" s="6"/>
      <c r="F117" s="6"/>
      <c r="G117" s="7">
        <f>G114+G115-G116</f>
        <v>0</v>
      </c>
    </row>
    <row r="118" spans="1:7" x14ac:dyDescent="0.25">
      <c r="A118" s="115"/>
      <c r="B118" s="5" t="s">
        <v>28</v>
      </c>
      <c r="C118" s="9">
        <f>SUM(C109:C112)*12</f>
        <v>6662.7037645685359</v>
      </c>
      <c r="D118" s="9">
        <f>SUM(D109:D113)*12</f>
        <v>6662.7037645685359</v>
      </c>
      <c r="E118" s="9">
        <f>SUM(E109:E112)*12</f>
        <v>6068.5921666801687</v>
      </c>
      <c r="F118" s="9">
        <f>SUM(F109:F112)*12+F113</f>
        <v>6895.6359689420487</v>
      </c>
      <c r="G118" s="10">
        <f>SUM(G109:G112)*12+G113</f>
        <v>6895.6359689420487</v>
      </c>
    </row>
    <row r="119" spans="1:7" x14ac:dyDescent="0.25">
      <c r="A119" s="115"/>
      <c r="B119" s="5" t="s">
        <v>15</v>
      </c>
      <c r="C119" s="9"/>
      <c r="D119" s="9"/>
      <c r="E119" s="9">
        <f>$D$4*0.02</f>
        <v>3300</v>
      </c>
      <c r="F119" s="9"/>
      <c r="G119" s="10"/>
    </row>
    <row r="120" spans="1:7" x14ac:dyDescent="0.25">
      <c r="A120" s="115"/>
      <c r="B120" s="5" t="s">
        <v>14</v>
      </c>
      <c r="C120" s="9">
        <f>-C118*0.455</f>
        <v>-3031.5302128786839</v>
      </c>
      <c r="D120" s="9">
        <f>-D109*12*0.7*0.455</f>
        <v>-2758.8484106059755</v>
      </c>
      <c r="E120" s="9">
        <f>-E118*0.455</f>
        <v>-2761.209435839477</v>
      </c>
      <c r="F120" s="9">
        <f>-F108*12*0.455/2</f>
        <v>-2463.2575094696208</v>
      </c>
      <c r="G120" s="10">
        <v>0</v>
      </c>
    </row>
    <row r="121" spans="1:7" s="40" customFormat="1" x14ac:dyDescent="0.25">
      <c r="A121" s="115"/>
      <c r="B121" s="37" t="s">
        <v>16</v>
      </c>
      <c r="C121" s="38">
        <f>SUM(C118:C120)</f>
        <v>3631.173551689852</v>
      </c>
      <c r="D121" s="38">
        <f>SUM(D118:D120)</f>
        <v>3903.8553539625605</v>
      </c>
      <c r="E121" s="38">
        <f>SUM(E118:E120)</f>
        <v>6607.3827308406926</v>
      </c>
      <c r="F121" s="38">
        <f>SUM(F118:F120)</f>
        <v>4432.3784594724275</v>
      </c>
      <c r="G121" s="39">
        <f>SUM(G118:G120)</f>
        <v>6895.6359689420487</v>
      </c>
    </row>
    <row r="122" spans="1:7" s="40" customFormat="1" ht="15.75" thickBot="1" x14ac:dyDescent="0.3">
      <c r="A122" s="116"/>
      <c r="B122" s="41" t="s">
        <v>69</v>
      </c>
      <c r="C122" s="42">
        <f>C121/($D$4*1.025)</f>
        <v>2.1470353594618494E-2</v>
      </c>
      <c r="D122" s="42">
        <f>D121/($D$4*1.025)</f>
        <v>2.3082662846785285E-2</v>
      </c>
      <c r="E122" s="42">
        <f>E121/($D$4*1.025)</f>
        <v>3.906804275441652E-2</v>
      </c>
      <c r="F122" s="42">
        <f>F121/($D$4*1.025+$F$9)</f>
        <v>2.4730804628106728E-2</v>
      </c>
      <c r="G122" s="43">
        <f>G121/($D$4*1.025+$F$9)</f>
        <v>3.8474743863534944E-2</v>
      </c>
    </row>
    <row r="123" spans="1:7" x14ac:dyDescent="0.25">
      <c r="A123" s="114" t="s">
        <v>26</v>
      </c>
      <c r="B123" s="3" t="s">
        <v>6</v>
      </c>
      <c r="C123" s="4">
        <f>C108*1.01</f>
        <v>729.05203943276695</v>
      </c>
      <c r="D123" s="4">
        <f>D108*1.01</f>
        <v>729.05203943276695</v>
      </c>
      <c r="E123" s="4">
        <f>E108*1.01</f>
        <v>672.22886577109534</v>
      </c>
      <c r="F123" s="4">
        <f>F108*1.01</f>
        <v>911.31504929095854</v>
      </c>
      <c r="G123" s="29">
        <f>G108*1.01</f>
        <v>911.31504929095854</v>
      </c>
    </row>
    <row r="124" spans="1:7" x14ac:dyDescent="0.25">
      <c r="A124" s="117"/>
      <c r="B124" s="5" t="s">
        <v>55</v>
      </c>
      <c r="C124" s="9">
        <f>C123</f>
        <v>729.05203943276695</v>
      </c>
      <c r="D124" s="9">
        <f t="shared" ref="D124" si="28">D123</f>
        <v>729.05203943276695</v>
      </c>
      <c r="E124" s="9">
        <f t="shared" ref="E124" si="29">E123</f>
        <v>672.22886577109534</v>
      </c>
      <c r="F124" s="27">
        <f>F123*0.9</f>
        <v>820.18354436186269</v>
      </c>
      <c r="G124" s="28">
        <f>G123*0.9</f>
        <v>820.18354436186269</v>
      </c>
    </row>
    <row r="125" spans="1:7" x14ac:dyDescent="0.25">
      <c r="A125" s="117"/>
      <c r="B125" s="5" t="s">
        <v>8</v>
      </c>
      <c r="C125" s="6">
        <f>-C124*0.12</f>
        <v>-87.486244731932032</v>
      </c>
      <c r="D125" s="6">
        <f t="shared" ref="D125" si="30">-D124*0.12</f>
        <v>-87.486244731932032</v>
      </c>
      <c r="E125" s="6">
        <f t="shared" ref="E125" si="31">-E124*0.12</f>
        <v>-80.667463892531444</v>
      </c>
      <c r="F125" s="7">
        <f>-F124*0.175</f>
        <v>-143.53212026332596</v>
      </c>
      <c r="G125" s="7">
        <f>-G124*0.175</f>
        <v>-143.53212026332596</v>
      </c>
    </row>
    <row r="126" spans="1:7" x14ac:dyDescent="0.25">
      <c r="A126" s="117"/>
      <c r="B126" s="5" t="s">
        <v>9</v>
      </c>
      <c r="C126" s="6">
        <f>-C123*0.03</f>
        <v>-21.871561182983008</v>
      </c>
      <c r="D126" s="6">
        <f>-D123*0.03</f>
        <v>-21.871561182983008</v>
      </c>
      <c r="E126" s="6">
        <f>C126</f>
        <v>-21.871561182983008</v>
      </c>
      <c r="F126" s="6">
        <f>C126</f>
        <v>-21.871561182983008</v>
      </c>
      <c r="G126" s="7">
        <f>C126</f>
        <v>-21.871561182983008</v>
      </c>
    </row>
    <row r="127" spans="1:7" x14ac:dyDescent="0.25">
      <c r="A127" s="117"/>
      <c r="B127" s="5" t="s">
        <v>21</v>
      </c>
      <c r="C127" s="6">
        <f>-$F$10/12</f>
        <v>-58.333333333333336</v>
      </c>
      <c r="D127" s="6">
        <f>-$F$10/12</f>
        <v>-58.333333333333336</v>
      </c>
      <c r="E127" s="6">
        <f t="shared" ref="E127:G127" si="32">-$F$10/12</f>
        <v>-58.333333333333336</v>
      </c>
      <c r="F127" s="6">
        <f t="shared" si="32"/>
        <v>-58.333333333333336</v>
      </c>
      <c r="G127" s="7">
        <f t="shared" si="32"/>
        <v>-58.333333333333336</v>
      </c>
    </row>
    <row r="128" spans="1:7" x14ac:dyDescent="0.25">
      <c r="A128" s="117"/>
      <c r="B128" s="5" t="s">
        <v>37</v>
      </c>
      <c r="C128" s="11"/>
      <c r="D128" s="11"/>
      <c r="E128" s="11"/>
      <c r="F128" s="6">
        <f>G128</f>
        <v>-185.76602635517506</v>
      </c>
      <c r="G128" s="7">
        <f>G113*1.01</f>
        <v>-185.76602635517506</v>
      </c>
    </row>
    <row r="129" spans="1:7" x14ac:dyDescent="0.25">
      <c r="A129" s="117"/>
      <c r="B129" s="5" t="s">
        <v>13</v>
      </c>
      <c r="C129" s="6"/>
      <c r="D129" s="6"/>
      <c r="E129" s="6"/>
      <c r="F129" s="6"/>
      <c r="G129" s="7">
        <f>-$D$4*0.033*0.85</f>
        <v>-4628.25</v>
      </c>
    </row>
    <row r="130" spans="1:7" x14ac:dyDescent="0.25">
      <c r="A130" s="117"/>
      <c r="B130" s="5" t="s">
        <v>39</v>
      </c>
      <c r="C130" s="6"/>
      <c r="D130" s="6"/>
      <c r="E130" s="6"/>
      <c r="F130" s="6"/>
      <c r="G130" s="7">
        <f>G117</f>
        <v>0</v>
      </c>
    </row>
    <row r="131" spans="1:7" s="2" customFormat="1" x14ac:dyDescent="0.25">
      <c r="A131" s="117"/>
      <c r="B131" s="8" t="s">
        <v>17</v>
      </c>
      <c r="C131" s="6"/>
      <c r="D131" s="6"/>
      <c r="E131" s="6"/>
      <c r="F131" s="6"/>
      <c r="G131" s="7">
        <f>MAX(-(G124+G125+G126+G127)*12-G128, (G129+G130))</f>
        <v>-4628.25</v>
      </c>
    </row>
    <row r="132" spans="1:7" s="2" customFormat="1" x14ac:dyDescent="0.25">
      <c r="A132" s="117"/>
      <c r="B132" s="8" t="s">
        <v>18</v>
      </c>
      <c r="C132" s="6"/>
      <c r="D132" s="6"/>
      <c r="E132" s="6"/>
      <c r="F132" s="6"/>
      <c r="G132" s="7">
        <f>G129+G130-G131</f>
        <v>0</v>
      </c>
    </row>
    <row r="133" spans="1:7" x14ac:dyDescent="0.25">
      <c r="A133" s="117"/>
      <c r="B133" s="5" t="s">
        <v>28</v>
      </c>
      <c r="C133" s="9">
        <f>SUM(C124:C127)*12</f>
        <v>6736.3308022142228</v>
      </c>
      <c r="D133" s="9">
        <f>SUM(D124:D128)*12</f>
        <v>6736.3308022142228</v>
      </c>
      <c r="E133" s="9">
        <f>SUM(E124:E127)*12</f>
        <v>6136.2780883469704</v>
      </c>
      <c r="F133" s="9">
        <f>SUM(F124:F127)*12+F128</f>
        <v>6971.5923286314692</v>
      </c>
      <c r="G133" s="10">
        <f>SUM(G124:G127)*12+G128</f>
        <v>6971.5923286314692</v>
      </c>
    </row>
    <row r="134" spans="1:7" x14ac:dyDescent="0.25">
      <c r="A134" s="117"/>
      <c r="B134" s="5" t="s">
        <v>15</v>
      </c>
      <c r="C134" s="9"/>
      <c r="D134" s="9"/>
      <c r="E134" s="9">
        <f>$D$4*0.02</f>
        <v>3300</v>
      </c>
      <c r="F134" s="9"/>
      <c r="G134" s="10"/>
    </row>
    <row r="135" spans="1:7" x14ac:dyDescent="0.25">
      <c r="A135" s="117"/>
      <c r="B135" s="5" t="s">
        <v>14</v>
      </c>
      <c r="C135" s="9">
        <f>-C133*0.455</f>
        <v>-3065.0305150074714</v>
      </c>
      <c r="D135" s="9">
        <f>-D124*12*0.7*0.455</f>
        <v>-2786.4368947120356</v>
      </c>
      <c r="E135" s="9">
        <f>-E133*0.455</f>
        <v>-2792.0065301978716</v>
      </c>
      <c r="F135" s="9">
        <f>-F123*12*0.455/2</f>
        <v>-2487.890084564317</v>
      </c>
      <c r="G135" s="10">
        <f>-(G133+G131)*0.45</f>
        <v>-1054.5040478841611</v>
      </c>
    </row>
    <row r="136" spans="1:7" s="40" customFormat="1" x14ac:dyDescent="0.25">
      <c r="A136" s="117"/>
      <c r="B136" s="37" t="s">
        <v>16</v>
      </c>
      <c r="C136" s="38">
        <f>SUM(C133:C135)</f>
        <v>3671.3002872067514</v>
      </c>
      <c r="D136" s="38">
        <f>SUM(D133:D135)</f>
        <v>3949.8939075021872</v>
      </c>
      <c r="E136" s="38">
        <f>SUM(E133:E135)</f>
        <v>6644.2715581490993</v>
      </c>
      <c r="F136" s="38">
        <f>SUM(F133:F135)</f>
        <v>4483.7022440671517</v>
      </c>
      <c r="G136" s="39">
        <f>SUM(G133:G135)</f>
        <v>5917.0882807473081</v>
      </c>
    </row>
    <row r="137" spans="1:7" s="40" customFormat="1" ht="15.75" thickBot="1" x14ac:dyDescent="0.3">
      <c r="A137" s="116"/>
      <c r="B137" s="41" t="s">
        <v>69</v>
      </c>
      <c r="C137" s="42">
        <f>C136/($D$4*1.025)</f>
        <v>2.1707614410682939E-2</v>
      </c>
      <c r="D137" s="42">
        <f>D136/($D$4*1.025)</f>
        <v>2.3354878980057281E-2</v>
      </c>
      <c r="E137" s="42">
        <f>E136/($D$4*1.025)</f>
        <v>3.9286158510859426E-2</v>
      </c>
      <c r="F137" s="42">
        <f>F136/($D$4*1.025+$F$9)</f>
        <v>2.5017169725580428E-2</v>
      </c>
      <c r="G137" s="43">
        <f>G136/($D$4*1.025+$F$9)</f>
        <v>3.3014859984641147E-2</v>
      </c>
    </row>
    <row r="138" spans="1:7" s="20" customFormat="1" x14ac:dyDescent="0.25">
      <c r="A138" s="114" t="s">
        <v>27</v>
      </c>
      <c r="B138" s="22" t="s">
        <v>59</v>
      </c>
      <c r="C138" s="23">
        <f>-C139*3</f>
        <v>-2209.0276794812839</v>
      </c>
      <c r="D138" s="23">
        <f t="shared" ref="D138" si="33">-D139*3</f>
        <v>-2209.0276794812839</v>
      </c>
      <c r="E138" s="23">
        <f>-D139*3</f>
        <v>-2209.0276794812839</v>
      </c>
      <c r="F138" s="34" t="s">
        <v>35</v>
      </c>
      <c r="G138" s="35" t="s">
        <v>35</v>
      </c>
    </row>
    <row r="139" spans="1:7" ht="15" customHeight="1" x14ac:dyDescent="0.25">
      <c r="A139" s="118"/>
      <c r="B139" s="5" t="s">
        <v>6</v>
      </c>
      <c r="C139" s="9">
        <f>C123*1.01</f>
        <v>736.34255982709465</v>
      </c>
      <c r="D139" s="9">
        <f>D123*1.01</f>
        <v>736.34255982709465</v>
      </c>
      <c r="E139" s="9">
        <f>E123*1.01</f>
        <v>678.95115442880626</v>
      </c>
      <c r="F139" s="9">
        <f>F123*1.01</f>
        <v>920.42819978386808</v>
      </c>
      <c r="G139" s="9">
        <f>G123*1.01</f>
        <v>920.42819978386808</v>
      </c>
    </row>
    <row r="140" spans="1:7" x14ac:dyDescent="0.25">
      <c r="A140" s="118"/>
      <c r="B140" s="5" t="s">
        <v>55</v>
      </c>
      <c r="C140" s="9">
        <f>C139*10/12</f>
        <v>613.61879985591224</v>
      </c>
      <c r="D140" s="9">
        <f t="shared" ref="D140" si="34">D139*10/12</f>
        <v>613.61879985591224</v>
      </c>
      <c r="E140" s="9">
        <f t="shared" ref="E140" si="35">E139*10/12</f>
        <v>565.7926286906719</v>
      </c>
      <c r="F140" s="27">
        <f>F139*0.9</f>
        <v>828.38537980548131</v>
      </c>
      <c r="G140" s="28">
        <f>G139*0.9</f>
        <v>828.38537980548131</v>
      </c>
    </row>
    <row r="141" spans="1:7" x14ac:dyDescent="0.25">
      <c r="A141" s="118"/>
      <c r="B141" s="5" t="s">
        <v>8</v>
      </c>
      <c r="C141" s="6">
        <f>-C140*0.12</f>
        <v>-73.634255982709462</v>
      </c>
      <c r="D141" s="6">
        <f t="shared" ref="D141" si="36">-D140*0.12</f>
        <v>-73.634255982709462</v>
      </c>
      <c r="E141" s="6">
        <f t="shared" ref="E141" si="37">-E140*0.12</f>
        <v>-67.895115442880623</v>
      </c>
      <c r="F141" s="7">
        <f>-F140*0.175</f>
        <v>-144.96744146595921</v>
      </c>
      <c r="G141" s="7">
        <f>-G140*0.175</f>
        <v>-144.96744146595921</v>
      </c>
    </row>
    <row r="142" spans="1:7" x14ac:dyDescent="0.25">
      <c r="A142" s="118"/>
      <c r="B142" s="5" t="s">
        <v>9</v>
      </c>
      <c r="C142" s="6">
        <f>-C139*0.03</f>
        <v>-22.090276794812837</v>
      </c>
      <c r="D142" s="6">
        <f>-D139*0.03</f>
        <v>-22.090276794812837</v>
      </c>
      <c r="E142" s="6">
        <f>C142</f>
        <v>-22.090276794812837</v>
      </c>
      <c r="F142" s="6">
        <f>C142</f>
        <v>-22.090276794812837</v>
      </c>
      <c r="G142" s="7">
        <f>C142</f>
        <v>-22.090276794812837</v>
      </c>
    </row>
    <row r="143" spans="1:7" x14ac:dyDescent="0.25">
      <c r="A143" s="118"/>
      <c r="B143" s="5" t="s">
        <v>21</v>
      </c>
      <c r="C143" s="6">
        <f>-$F$10/12</f>
        <v>-58.333333333333336</v>
      </c>
      <c r="D143" s="6">
        <f>-$F$10/12</f>
        <v>-58.333333333333336</v>
      </c>
      <c r="E143" s="6">
        <f t="shared" ref="E143:G143" si="38">-$F$10/12</f>
        <v>-58.333333333333336</v>
      </c>
      <c r="F143" s="6">
        <f t="shared" si="38"/>
        <v>-58.333333333333336</v>
      </c>
      <c r="G143" s="7">
        <f t="shared" si="38"/>
        <v>-58.333333333333336</v>
      </c>
    </row>
    <row r="144" spans="1:7" x14ac:dyDescent="0.25">
      <c r="A144" s="118"/>
      <c r="B144" s="5" t="s">
        <v>37</v>
      </c>
      <c r="C144" s="11"/>
      <c r="D144" s="11"/>
      <c r="E144" s="11"/>
      <c r="F144" s="6">
        <f>G144</f>
        <v>-187.62368661872682</v>
      </c>
      <c r="G144" s="7">
        <f>G128*1.01</f>
        <v>-187.62368661872682</v>
      </c>
    </row>
    <row r="145" spans="1:7" x14ac:dyDescent="0.25">
      <c r="A145" s="118"/>
      <c r="B145" s="5" t="s">
        <v>13</v>
      </c>
      <c r="C145" s="6"/>
      <c r="D145" s="6"/>
      <c r="E145" s="6"/>
      <c r="F145" s="6"/>
      <c r="G145" s="7">
        <f>-$D$4*0.033*0.85</f>
        <v>-4628.25</v>
      </c>
    </row>
    <row r="146" spans="1:7" x14ac:dyDescent="0.25">
      <c r="A146" s="118"/>
      <c r="B146" s="5" t="s">
        <v>39</v>
      </c>
      <c r="C146" s="6"/>
      <c r="D146" s="6"/>
      <c r="E146" s="6"/>
      <c r="F146" s="6"/>
      <c r="G146" s="7">
        <f>G132</f>
        <v>0</v>
      </c>
    </row>
    <row r="147" spans="1:7" s="2" customFormat="1" x14ac:dyDescent="0.25">
      <c r="A147" s="118"/>
      <c r="B147" s="8" t="s">
        <v>17</v>
      </c>
      <c r="C147" s="6"/>
      <c r="D147" s="6"/>
      <c r="E147" s="6"/>
      <c r="F147" s="6"/>
      <c r="G147" s="7">
        <f>MAX(-(G140+G141+G142+G143)*12-G144, (G145+G146))</f>
        <v>-4628.25</v>
      </c>
    </row>
    <row r="148" spans="1:7" s="2" customFormat="1" x14ac:dyDescent="0.25">
      <c r="A148" s="118"/>
      <c r="B148" s="8" t="s">
        <v>18</v>
      </c>
      <c r="C148" s="6"/>
      <c r="D148" s="6"/>
      <c r="E148" s="6"/>
      <c r="F148" s="6"/>
      <c r="G148" s="7">
        <f>G145+G146-G147</f>
        <v>0</v>
      </c>
    </row>
    <row r="149" spans="1:7" x14ac:dyDescent="0.25">
      <c r="A149" s="118"/>
      <c r="B149" s="5" t="s">
        <v>28</v>
      </c>
      <c r="C149" s="9">
        <f>SUM(C140:C144)*12+C138</f>
        <v>3305.7035254593952</v>
      </c>
      <c r="D149" s="9">
        <f>SUM(D140:D144)*12+D138</f>
        <v>3305.7035254593952</v>
      </c>
      <c r="E149" s="9">
        <f>SUM(E140:E144)*12+E138</f>
        <v>2800.6591579544579</v>
      </c>
      <c r="F149" s="9">
        <f>SUM(F140:F143)*12+F144</f>
        <v>7048.308251917786</v>
      </c>
      <c r="G149" s="10">
        <f>SUM(G140:G143)*12+G144</f>
        <v>7048.308251917786</v>
      </c>
    </row>
    <row r="150" spans="1:7" x14ac:dyDescent="0.25">
      <c r="A150" s="118"/>
      <c r="B150" s="5" t="s">
        <v>15</v>
      </c>
      <c r="C150" s="9"/>
      <c r="D150" s="9"/>
      <c r="E150" s="9">
        <f>$D$4*0.02</f>
        <v>3300</v>
      </c>
      <c r="F150" s="9"/>
      <c r="G150" s="10"/>
    </row>
    <row r="151" spans="1:7" x14ac:dyDescent="0.25">
      <c r="A151" s="118"/>
      <c r="B151" s="5" t="s">
        <v>14</v>
      </c>
      <c r="C151" s="9">
        <f>-C149*0.455</f>
        <v>-1504.0951040840248</v>
      </c>
      <c r="D151" s="9">
        <f>-D140*12*0.7*0.455</f>
        <v>-2345.2510530492968</v>
      </c>
      <c r="E151" s="9">
        <f>-E149*0.455</f>
        <v>-1274.2999168692784</v>
      </c>
      <c r="F151" s="9">
        <f>-F139*12*0.455/2</f>
        <v>-2512.7689854099599</v>
      </c>
      <c r="G151" s="10">
        <f>-(G149+G147)*0.45</f>
        <v>-1089.0262133630038</v>
      </c>
    </row>
    <row r="152" spans="1:7" s="40" customFormat="1" x14ac:dyDescent="0.25">
      <c r="A152" s="118"/>
      <c r="B152" s="37" t="s">
        <v>16</v>
      </c>
      <c r="C152" s="38">
        <f>SUM(C149:C151)</f>
        <v>1801.6084213753704</v>
      </c>
      <c r="D152" s="38">
        <f>SUM(D149:D151)</f>
        <v>960.45247241009838</v>
      </c>
      <c r="E152" s="38">
        <f>SUM(E149:E151)</f>
        <v>4826.3592410851797</v>
      </c>
      <c r="F152" s="38">
        <f>SUM(F149:F151)</f>
        <v>4535.5392665078261</v>
      </c>
      <c r="G152" s="39">
        <f>SUM(G149:G151)</f>
        <v>5959.282038554782</v>
      </c>
    </row>
    <row r="153" spans="1:7" s="40" customFormat="1" ht="15.75" thickBot="1" x14ac:dyDescent="0.3">
      <c r="A153" s="119"/>
      <c r="B153" s="41" t="s">
        <v>69</v>
      </c>
      <c r="C153" s="42">
        <f>C152/($D$4*1.025-$C$138)</f>
        <v>1.0515181635405685E-2</v>
      </c>
      <c r="D153" s="42">
        <f t="shared" ref="D153:E153" si="39">D152/($D$4*1.025-$C$138)</f>
        <v>5.60573101221224E-3</v>
      </c>
      <c r="E153" s="42">
        <f t="shared" si="39"/>
        <v>2.8169297753940437E-2</v>
      </c>
      <c r="F153" s="42">
        <f>F152/($D$4*1.025+$F$9)</f>
        <v>2.5306398474028886E-2</v>
      </c>
      <c r="G153" s="43">
        <f>G152/($D$4*1.025+$F$9)</f>
        <v>3.3250283378740593E-2</v>
      </c>
    </row>
    <row r="154" spans="1:7" s="20" customFormat="1" x14ac:dyDescent="0.25">
      <c r="A154" s="21"/>
      <c r="B154" s="22" t="s">
        <v>58</v>
      </c>
      <c r="C154" s="23"/>
      <c r="D154" s="23"/>
      <c r="E154" s="23"/>
      <c r="F154" s="30">
        <v>-5500</v>
      </c>
      <c r="G154" s="30">
        <v>-5500</v>
      </c>
    </row>
    <row r="155" spans="1:7" x14ac:dyDescent="0.25">
      <c r="A155" s="109" t="s">
        <v>29</v>
      </c>
      <c r="B155" s="5" t="s">
        <v>6</v>
      </c>
      <c r="C155" s="9">
        <f>C139*1.01</f>
        <v>743.70598542536561</v>
      </c>
      <c r="D155" s="9">
        <f>D139*1.01</f>
        <v>743.70598542536561</v>
      </c>
      <c r="E155" s="9">
        <f>E139*1.01</f>
        <v>685.74066597309434</v>
      </c>
      <c r="F155" s="9">
        <f>F139*1.01</f>
        <v>929.63248178170682</v>
      </c>
      <c r="G155" s="10">
        <f>G139*1.01</f>
        <v>929.63248178170682</v>
      </c>
    </row>
    <row r="156" spans="1:7" x14ac:dyDescent="0.25">
      <c r="A156" s="109"/>
      <c r="B156" s="5" t="s">
        <v>55</v>
      </c>
      <c r="C156" s="9">
        <f>C155</f>
        <v>743.70598542536561</v>
      </c>
      <c r="D156" s="9">
        <f t="shared" ref="D156" si="40">D155</f>
        <v>743.70598542536561</v>
      </c>
      <c r="E156" s="9">
        <f t="shared" ref="E156" si="41">E155</f>
        <v>685.74066597309434</v>
      </c>
      <c r="F156" s="27">
        <f>F155*0.9</f>
        <v>836.6692336035361</v>
      </c>
      <c r="G156" s="28">
        <f>G155*0.9</f>
        <v>836.6692336035361</v>
      </c>
    </row>
    <row r="157" spans="1:7" x14ac:dyDescent="0.25">
      <c r="A157" s="109"/>
      <c r="B157" s="5" t="s">
        <v>8</v>
      </c>
      <c r="C157" s="6">
        <f>-C156*0.12</f>
        <v>-89.244718251043864</v>
      </c>
      <c r="D157" s="6">
        <f t="shared" ref="D157" si="42">-D156*0.12</f>
        <v>-89.244718251043864</v>
      </c>
      <c r="E157" s="6">
        <f t="shared" ref="E157" si="43">-E156*0.12</f>
        <v>-82.288879916771322</v>
      </c>
      <c r="F157" s="7">
        <f>-F156*0.175</f>
        <v>-146.41711588061881</v>
      </c>
      <c r="G157" s="7">
        <f>-G156*0.175</f>
        <v>-146.41711588061881</v>
      </c>
    </row>
    <row r="158" spans="1:7" x14ac:dyDescent="0.25">
      <c r="A158" s="109"/>
      <c r="B158" s="5" t="s">
        <v>9</v>
      </c>
      <c r="C158" s="6">
        <f>-C155*0.03</f>
        <v>-22.311179562760966</v>
      </c>
      <c r="D158" s="6">
        <f>-D155*0.03</f>
        <v>-22.311179562760966</v>
      </c>
      <c r="E158" s="6">
        <f>C158</f>
        <v>-22.311179562760966</v>
      </c>
      <c r="F158" s="6">
        <f>C158</f>
        <v>-22.311179562760966</v>
      </c>
      <c r="G158" s="7">
        <f>C158</f>
        <v>-22.311179562760966</v>
      </c>
    </row>
    <row r="159" spans="1:7" x14ac:dyDescent="0.25">
      <c r="A159" s="109"/>
      <c r="B159" s="5" t="s">
        <v>21</v>
      </c>
      <c r="C159" s="6">
        <f>C143*1.01</f>
        <v>-58.916666666666671</v>
      </c>
      <c r="D159" s="6">
        <f>D143*1.01</f>
        <v>-58.916666666666671</v>
      </c>
      <c r="E159" s="6">
        <f t="shared" ref="E159:G159" si="44">E143*1.01</f>
        <v>-58.916666666666671</v>
      </c>
      <c r="F159" s="6">
        <f t="shared" si="44"/>
        <v>-58.916666666666671</v>
      </c>
      <c r="G159" s="7">
        <f t="shared" si="44"/>
        <v>-58.916666666666671</v>
      </c>
    </row>
    <row r="160" spans="1:7" x14ac:dyDescent="0.25">
      <c r="A160" s="109"/>
      <c r="B160" s="5" t="s">
        <v>37</v>
      </c>
      <c r="C160" s="11"/>
      <c r="D160" s="11"/>
      <c r="E160" s="11"/>
      <c r="F160" s="6">
        <f>G160</f>
        <v>-189.49992348491409</v>
      </c>
      <c r="G160" s="7">
        <f>G144*1.01</f>
        <v>-189.49992348491409</v>
      </c>
    </row>
    <row r="161" spans="1:7" x14ac:dyDescent="0.25">
      <c r="A161" s="109"/>
      <c r="B161" s="5" t="s">
        <v>13</v>
      </c>
      <c r="C161" s="6"/>
      <c r="D161" s="6"/>
      <c r="E161" s="6"/>
      <c r="F161" s="6"/>
      <c r="G161" s="7">
        <f>-($D$4*0.85*0.033-$G$154*0.2)</f>
        <v>-5728.25</v>
      </c>
    </row>
    <row r="162" spans="1:7" x14ac:dyDescent="0.25">
      <c r="A162" s="109"/>
      <c r="B162" s="5" t="s">
        <v>39</v>
      </c>
      <c r="C162" s="6"/>
      <c r="D162" s="6"/>
      <c r="E162" s="6"/>
      <c r="F162" s="6"/>
      <c r="G162" s="7">
        <f>G148</f>
        <v>0</v>
      </c>
    </row>
    <row r="163" spans="1:7" x14ac:dyDescent="0.25">
      <c r="A163" s="109"/>
      <c r="B163" s="8" t="s">
        <v>17</v>
      </c>
      <c r="C163" s="6"/>
      <c r="D163" s="6"/>
      <c r="E163" s="6"/>
      <c r="F163" s="6"/>
      <c r="G163" s="7">
        <f>MAX(-(G156+G157+G158+G159)*12-G160, (G161+G162))</f>
        <v>-5728.25</v>
      </c>
    </row>
    <row r="164" spans="1:7" x14ac:dyDescent="0.25">
      <c r="A164" s="109"/>
      <c r="B164" s="8" t="s">
        <v>18</v>
      </c>
      <c r="C164" s="6"/>
      <c r="D164" s="6"/>
      <c r="E164" s="6"/>
      <c r="F164" s="6"/>
      <c r="G164" s="7">
        <f>G161+G162-G163</f>
        <v>0</v>
      </c>
    </row>
    <row r="165" spans="1:7" x14ac:dyDescent="0.25">
      <c r="A165" s="109"/>
      <c r="B165" s="5" t="s">
        <v>28</v>
      </c>
      <c r="C165" s="9">
        <f>SUM(C156:C160)*12</f>
        <v>6878.8010513387308</v>
      </c>
      <c r="D165" s="9">
        <f>SUM(D156:D160)*12</f>
        <v>6878.8010513387308</v>
      </c>
      <c r="E165" s="9">
        <f>SUM(E156:E160)*12</f>
        <v>6266.687277922746</v>
      </c>
      <c r="F165" s="9">
        <f>SUM(F156:F159)*12+F160</f>
        <v>7118.7913344369636</v>
      </c>
      <c r="G165" s="10">
        <f>SUM(G156:G159)*12+G160</f>
        <v>7118.7913344369636</v>
      </c>
    </row>
    <row r="166" spans="1:7" x14ac:dyDescent="0.25">
      <c r="A166" s="109"/>
      <c r="B166" s="5" t="s">
        <v>15</v>
      </c>
      <c r="C166" s="9"/>
      <c r="D166" s="9"/>
      <c r="E166" s="9">
        <v>0</v>
      </c>
      <c r="F166" s="9"/>
      <c r="G166" s="10"/>
    </row>
    <row r="167" spans="1:7" x14ac:dyDescent="0.25">
      <c r="A167" s="109"/>
      <c r="B167" s="5" t="s">
        <v>14</v>
      </c>
      <c r="C167" s="9">
        <f>-C165*0.455</f>
        <v>-3129.8544783591228</v>
      </c>
      <c r="D167" s="9">
        <f>-D156*12*0.7*0.455</f>
        <v>-2842.4442762957469</v>
      </c>
      <c r="E167" s="9">
        <f>-E165*0.455</f>
        <v>-2851.3427114548495</v>
      </c>
      <c r="F167" s="9">
        <f>-F156*12*0.455/2</f>
        <v>-2284.1070077376535</v>
      </c>
      <c r="G167" s="10">
        <f>-(G165+G163)*0.45</f>
        <v>-625.74360049663358</v>
      </c>
    </row>
    <row r="168" spans="1:7" s="40" customFormat="1" x14ac:dyDescent="0.25">
      <c r="A168" s="109"/>
      <c r="B168" s="37" t="s">
        <v>16</v>
      </c>
      <c r="C168" s="38">
        <f>SUM(C165:C167)</f>
        <v>3748.9465729796079</v>
      </c>
      <c r="D168" s="38">
        <f>SUM(D165:D167)</f>
        <v>4036.3567750429838</v>
      </c>
      <c r="E168" s="38">
        <f>SUM(E165:E167)</f>
        <v>3415.3445664678966</v>
      </c>
      <c r="F168" s="38">
        <f>SUM(F165:F167)</f>
        <v>4834.6843266993101</v>
      </c>
      <c r="G168" s="39">
        <f>SUM(G165:G167)</f>
        <v>6493.0477339403296</v>
      </c>
    </row>
    <row r="169" spans="1:7" s="40" customFormat="1" ht="15.75" thickBot="1" x14ac:dyDescent="0.3">
      <c r="A169" s="110"/>
      <c r="B169" s="41" t="s">
        <v>69</v>
      </c>
      <c r="C169" s="42">
        <f>C168/($D$4*1.025-$C$138)</f>
        <v>2.1880922451626796E-2</v>
      </c>
      <c r="D169" s="42">
        <f t="shared" ref="D169" si="45">D168/($D$4*1.025-$C$138)</f>
        <v>2.3558407105177582E-2</v>
      </c>
      <c r="E169" s="42">
        <f t="shared" ref="E169" si="46">E168/($D$4*1.025-$C$138)</f>
        <v>1.9933836919173258E-2</v>
      </c>
      <c r="F169" s="43">
        <f>F168/($D$4*1.025+$F$9-$G$154)</f>
        <v>2.6172333613205093E-2</v>
      </c>
      <c r="G169" s="43">
        <f>G168/($D$4*1.025+$F$9-$G$154)</f>
        <v>3.5149805028774288E-2</v>
      </c>
    </row>
    <row r="170" spans="1:7" x14ac:dyDescent="0.25">
      <c r="A170" s="109" t="s">
        <v>36</v>
      </c>
      <c r="B170" s="5" t="s">
        <v>6</v>
      </c>
      <c r="C170" s="9">
        <f>C155*1.01</f>
        <v>751.14304527961929</v>
      </c>
      <c r="D170" s="9">
        <f>D155*1.01</f>
        <v>751.14304527961929</v>
      </c>
      <c r="E170" s="9">
        <f>E155*1.01</f>
        <v>692.59807263282528</v>
      </c>
      <c r="F170" s="9">
        <f>F155*1.01</f>
        <v>938.92880659952391</v>
      </c>
      <c r="G170" s="10">
        <f>G155*1.01</f>
        <v>938.92880659952391</v>
      </c>
    </row>
    <row r="171" spans="1:7" x14ac:dyDescent="0.25">
      <c r="A171" s="109"/>
      <c r="B171" s="5" t="s">
        <v>55</v>
      </c>
      <c r="C171" s="9">
        <f>C170</f>
        <v>751.14304527961929</v>
      </c>
      <c r="D171" s="9">
        <f t="shared" ref="D171" si="47">D170</f>
        <v>751.14304527961929</v>
      </c>
      <c r="E171" s="9">
        <f t="shared" ref="E171" si="48">E170</f>
        <v>692.59807263282528</v>
      </c>
      <c r="F171" s="27">
        <f>F170*0.9</f>
        <v>845.03592593957148</v>
      </c>
      <c r="G171" s="28">
        <f>G170*0.9</f>
        <v>845.03592593957148</v>
      </c>
    </row>
    <row r="172" spans="1:7" x14ac:dyDescent="0.25">
      <c r="A172" s="109"/>
      <c r="B172" s="5" t="s">
        <v>8</v>
      </c>
      <c r="C172" s="6">
        <f>-C171*0.12</f>
        <v>-90.137165433554316</v>
      </c>
      <c r="D172" s="6">
        <f t="shared" ref="D172" si="49">-D171*0.12</f>
        <v>-90.137165433554316</v>
      </c>
      <c r="E172" s="6">
        <f t="shared" ref="E172" si="50">-E171*0.12</f>
        <v>-83.111768715939036</v>
      </c>
      <c r="F172" s="7">
        <f>-F171*0.175</f>
        <v>-147.88128703942499</v>
      </c>
      <c r="G172" s="7">
        <f>-G171*0.175</f>
        <v>-147.88128703942499</v>
      </c>
    </row>
    <row r="173" spans="1:7" x14ac:dyDescent="0.25">
      <c r="A173" s="109"/>
      <c r="B173" s="5" t="s">
        <v>9</v>
      </c>
      <c r="C173" s="6">
        <f>-C170*0.03</f>
        <v>-22.534291358388579</v>
      </c>
      <c r="D173" s="6">
        <f>-D170*0.03</f>
        <v>-22.534291358388579</v>
      </c>
      <c r="E173" s="6">
        <f>C173</f>
        <v>-22.534291358388579</v>
      </c>
      <c r="F173" s="6">
        <f>C173</f>
        <v>-22.534291358388579</v>
      </c>
      <c r="G173" s="7">
        <f>C173</f>
        <v>-22.534291358388579</v>
      </c>
    </row>
    <row r="174" spans="1:7" x14ac:dyDescent="0.25">
      <c r="A174" s="109"/>
      <c r="B174" s="5" t="s">
        <v>21</v>
      </c>
      <c r="C174" s="6">
        <f>C159*1.01</f>
        <v>-59.505833333333335</v>
      </c>
      <c r="D174" s="6">
        <f>D159*1.01</f>
        <v>-59.505833333333335</v>
      </c>
      <c r="E174" s="6">
        <f>E159*1.01</f>
        <v>-59.505833333333335</v>
      </c>
      <c r="F174" s="6">
        <f>F159*1.01</f>
        <v>-59.505833333333335</v>
      </c>
      <c r="G174" s="7">
        <f>G159*1.01</f>
        <v>-59.505833333333335</v>
      </c>
    </row>
    <row r="175" spans="1:7" x14ac:dyDescent="0.25">
      <c r="A175" s="109"/>
      <c r="B175" s="5" t="s">
        <v>37</v>
      </c>
      <c r="C175" s="11"/>
      <c r="D175" s="11"/>
      <c r="E175" s="11"/>
      <c r="F175" s="6">
        <f>G175</f>
        <v>-191.39492271976323</v>
      </c>
      <c r="G175" s="7">
        <f>G160*1.01</f>
        <v>-191.39492271976323</v>
      </c>
    </row>
    <row r="176" spans="1:7" x14ac:dyDescent="0.25">
      <c r="A176" s="109"/>
      <c r="B176" s="5" t="s">
        <v>13</v>
      </c>
      <c r="C176" s="6"/>
      <c r="D176" s="6"/>
      <c r="E176" s="6"/>
      <c r="F176" s="6"/>
      <c r="G176" s="7">
        <f>-($D$4*0.85*0.033-$G$154*0.2)</f>
        <v>-5728.25</v>
      </c>
    </row>
    <row r="177" spans="1:7" x14ac:dyDescent="0.25">
      <c r="A177" s="109"/>
      <c r="B177" s="5" t="s">
        <v>39</v>
      </c>
      <c r="C177" s="6"/>
      <c r="D177" s="6"/>
      <c r="E177" s="6"/>
      <c r="F177" s="6"/>
      <c r="G177" s="7">
        <f>G164</f>
        <v>0</v>
      </c>
    </row>
    <row r="178" spans="1:7" x14ac:dyDescent="0.25">
      <c r="A178" s="109"/>
      <c r="B178" s="8" t="s">
        <v>17</v>
      </c>
      <c r="C178" s="6"/>
      <c r="D178" s="6"/>
      <c r="E178" s="6"/>
      <c r="F178" s="6"/>
      <c r="G178" s="7">
        <f>MAX(-(G171+G172+G173+G174)*12-G175, (G176+G177))</f>
        <v>-5728.25</v>
      </c>
    </row>
    <row r="179" spans="1:7" x14ac:dyDescent="0.25">
      <c r="A179" s="109"/>
      <c r="B179" s="8" t="s">
        <v>18</v>
      </c>
      <c r="C179" s="6"/>
      <c r="D179" s="6"/>
      <c r="E179" s="6"/>
      <c r="F179" s="6"/>
      <c r="G179" s="7">
        <f>G176+G177-G178</f>
        <v>0</v>
      </c>
    </row>
    <row r="180" spans="1:7" x14ac:dyDescent="0.25">
      <c r="A180" s="109"/>
      <c r="B180" s="5" t="s">
        <v>28</v>
      </c>
      <c r="C180" s="9">
        <f>SUM(C171:C175)*12</f>
        <v>6947.5890618521162</v>
      </c>
      <c r="D180" s="9">
        <f>SUM(D171:D174)*12</f>
        <v>6947.5890618521162</v>
      </c>
      <c r="E180" s="9">
        <f>SUM(E171:E175)*12</f>
        <v>6329.3541507019718</v>
      </c>
      <c r="F180" s="9">
        <f>SUM(F171:F174)*12+F175</f>
        <v>7189.9792477813298</v>
      </c>
      <c r="G180" s="10">
        <f>SUM(G171:G174)*12+G175</f>
        <v>7189.9792477813298</v>
      </c>
    </row>
    <row r="181" spans="1:7" x14ac:dyDescent="0.25">
      <c r="A181" s="109"/>
      <c r="B181" s="5" t="s">
        <v>15</v>
      </c>
      <c r="C181" s="9"/>
      <c r="D181" s="9"/>
      <c r="E181" s="9">
        <v>0</v>
      </c>
      <c r="F181" s="9"/>
      <c r="G181" s="10"/>
    </row>
    <row r="182" spans="1:7" x14ac:dyDescent="0.25">
      <c r="A182" s="109"/>
      <c r="B182" s="5" t="s">
        <v>14</v>
      </c>
      <c r="C182" s="9">
        <f>-C180*0.455</f>
        <v>-3161.1530231427128</v>
      </c>
      <c r="D182" s="9">
        <f>-D171*12*0.7*0.455</f>
        <v>-2870.8687190587048</v>
      </c>
      <c r="E182" s="9">
        <f>-E180*0.455</f>
        <v>-2879.8561385693974</v>
      </c>
      <c r="F182" s="9">
        <f>-F171*12*0.455/2</f>
        <v>-2306.9480778150305</v>
      </c>
      <c r="G182" s="10">
        <f>-(G180+G178)*0.45</f>
        <v>-657.77816150159845</v>
      </c>
    </row>
    <row r="183" spans="1:7" s="40" customFormat="1" x14ac:dyDescent="0.25">
      <c r="A183" s="109"/>
      <c r="B183" s="37" t="s">
        <v>16</v>
      </c>
      <c r="C183" s="38">
        <f>SUM(C180:C182)</f>
        <v>3786.4360387094034</v>
      </c>
      <c r="D183" s="38">
        <f>SUM(D180:D182)</f>
        <v>4076.7203427934114</v>
      </c>
      <c r="E183" s="38">
        <f>SUM(E180:E182)</f>
        <v>3449.4980121325743</v>
      </c>
      <c r="F183" s="38">
        <f>SUM(F180:F182)</f>
        <v>4883.0311699662998</v>
      </c>
      <c r="G183" s="39">
        <f>SUM(G180:G182)</f>
        <v>6532.2010862797315</v>
      </c>
    </row>
    <row r="184" spans="1:7" s="40" customFormat="1" ht="15.75" thickBot="1" x14ac:dyDescent="0.3">
      <c r="A184" s="110"/>
      <c r="B184" s="41" t="s">
        <v>69</v>
      </c>
      <c r="C184" s="42">
        <f>C183/($D$4*1.025-$C$138)</f>
        <v>2.2099731676143059E-2</v>
      </c>
      <c r="D184" s="42">
        <f t="shared" ref="D184" si="51">D183/($D$4*1.025-$C$138)</f>
        <v>2.3793991176229344E-2</v>
      </c>
      <c r="E184" s="42">
        <f t="shared" ref="E184" si="52">E183/($D$4*1.025-$C$138)</f>
        <v>2.0133175288364984E-2</v>
      </c>
      <c r="F184" s="42">
        <f>F183/($D$4*1.025+$F$9-$F$154)</f>
        <v>2.6434056949337127E-2</v>
      </c>
      <c r="G184" s="43">
        <f>G183/($D$4*1.025+$F$9-$F$154)</f>
        <v>3.5361759839110746E-2</v>
      </c>
    </row>
    <row r="185" spans="1:7" x14ac:dyDescent="0.25">
      <c r="A185" s="108" t="s">
        <v>42</v>
      </c>
      <c r="B185" s="3" t="s">
        <v>6</v>
      </c>
      <c r="C185" s="9">
        <f>C170*1.01</f>
        <v>758.65447573241545</v>
      </c>
      <c r="D185" s="9">
        <f>D170*1.01</f>
        <v>758.65447573241545</v>
      </c>
      <c r="E185" s="9">
        <f>E170*1.01</f>
        <v>699.52405335915353</v>
      </c>
      <c r="F185" s="9">
        <f>F170*1.01</f>
        <v>948.3180946655192</v>
      </c>
      <c r="G185" s="10">
        <f>G170*1.01</f>
        <v>948.3180946655192</v>
      </c>
    </row>
    <row r="186" spans="1:7" x14ac:dyDescent="0.25">
      <c r="A186" s="109"/>
      <c r="B186" s="5" t="s">
        <v>55</v>
      </c>
      <c r="C186" s="9">
        <f>C185*10/12</f>
        <v>632.21206311034621</v>
      </c>
      <c r="D186" s="9">
        <f t="shared" ref="D186:E186" si="53">D185*10/12</f>
        <v>632.21206311034621</v>
      </c>
      <c r="E186" s="9">
        <f t="shared" si="53"/>
        <v>582.93671113262792</v>
      </c>
      <c r="F186" s="27">
        <f>F185*0.9</f>
        <v>853.48628519896727</v>
      </c>
      <c r="G186" s="28">
        <f>G185*0.9</f>
        <v>853.48628519896727</v>
      </c>
    </row>
    <row r="187" spans="1:7" x14ac:dyDescent="0.25">
      <c r="A187" s="109"/>
      <c r="B187" s="5" t="s">
        <v>8</v>
      </c>
      <c r="C187" s="6">
        <f>-C186*0.12</f>
        <v>-75.865447573241539</v>
      </c>
      <c r="D187" s="6">
        <f t="shared" ref="D187" si="54">-D186*0.12</f>
        <v>-75.865447573241539</v>
      </c>
      <c r="E187" s="6">
        <f t="shared" ref="E187" si="55">-E186*0.12</f>
        <v>-69.952405335915344</v>
      </c>
      <c r="F187" s="7">
        <f>-F186*0.175</f>
        <v>-149.36009990981927</v>
      </c>
      <c r="G187" s="7">
        <f>-G186*0.175</f>
        <v>-149.36009990981927</v>
      </c>
    </row>
    <row r="188" spans="1:7" x14ac:dyDescent="0.25">
      <c r="A188" s="109"/>
      <c r="B188" s="5" t="s">
        <v>9</v>
      </c>
      <c r="C188" s="6">
        <f>-C185*0.03</f>
        <v>-22.759634271972462</v>
      </c>
      <c r="D188" s="6">
        <f>-D185*0.03</f>
        <v>-22.759634271972462</v>
      </c>
      <c r="E188" s="6">
        <f>C188</f>
        <v>-22.759634271972462</v>
      </c>
      <c r="F188" s="6">
        <f>C188</f>
        <v>-22.759634271972462</v>
      </c>
      <c r="G188" s="7">
        <f>C188</f>
        <v>-22.759634271972462</v>
      </c>
    </row>
    <row r="189" spans="1:7" x14ac:dyDescent="0.25">
      <c r="A189" s="109"/>
      <c r="B189" s="5" t="s">
        <v>21</v>
      </c>
      <c r="C189" s="6">
        <f>C174*1.01</f>
        <v>-60.100891666666669</v>
      </c>
      <c r="D189" s="6">
        <f>D174*1.01</f>
        <v>-60.100891666666669</v>
      </c>
      <c r="E189" s="6">
        <f t="shared" ref="E189:G189" si="56">E174*1.01</f>
        <v>-60.100891666666669</v>
      </c>
      <c r="F189" s="6">
        <f t="shared" si="56"/>
        <v>-60.100891666666669</v>
      </c>
      <c r="G189" s="7">
        <f t="shared" si="56"/>
        <v>-60.100891666666669</v>
      </c>
    </row>
    <row r="190" spans="1:7" x14ac:dyDescent="0.25">
      <c r="A190" s="109"/>
      <c r="B190" s="5" t="s">
        <v>37</v>
      </c>
      <c r="C190" s="11"/>
      <c r="D190" s="11"/>
      <c r="E190" s="11"/>
      <c r="F190" s="6">
        <f>G190</f>
        <v>-193.30887194696086</v>
      </c>
      <c r="G190" s="7">
        <f>G175*1.01</f>
        <v>-193.30887194696086</v>
      </c>
    </row>
    <row r="191" spans="1:7" x14ac:dyDescent="0.25">
      <c r="A191" s="109"/>
      <c r="B191" s="5" t="s">
        <v>13</v>
      </c>
      <c r="C191" s="6"/>
      <c r="D191" s="6"/>
      <c r="E191" s="6"/>
      <c r="F191" s="6"/>
      <c r="G191" s="7">
        <f>-($D$4*0.033*0.85-$G$154*0.2)</f>
        <v>-5728.25</v>
      </c>
    </row>
    <row r="192" spans="1:7" x14ac:dyDescent="0.25">
      <c r="A192" s="109"/>
      <c r="B192" s="5" t="s">
        <v>39</v>
      </c>
      <c r="C192" s="6"/>
      <c r="D192" s="6"/>
      <c r="E192" s="6"/>
      <c r="F192" s="6"/>
      <c r="G192" s="7">
        <f>G179</f>
        <v>0</v>
      </c>
    </row>
    <row r="193" spans="1:7" x14ac:dyDescent="0.25">
      <c r="A193" s="109"/>
      <c r="B193" s="8" t="s">
        <v>17</v>
      </c>
      <c r="C193" s="6"/>
      <c r="D193" s="6"/>
      <c r="E193" s="6"/>
      <c r="F193" s="6"/>
      <c r="G193" s="7">
        <f>MAX(-(G186+G187+G188+G189)*12-G190, (G191+G192))</f>
        <v>-5728.25</v>
      </c>
    </row>
    <row r="194" spans="1:7" x14ac:dyDescent="0.25">
      <c r="A194" s="109"/>
      <c r="B194" s="8" t="s">
        <v>18</v>
      </c>
      <c r="C194" s="6"/>
      <c r="D194" s="6"/>
      <c r="E194" s="6"/>
      <c r="F194" s="6"/>
      <c r="G194" s="7">
        <f>G191+G192-G193</f>
        <v>0</v>
      </c>
    </row>
    <row r="195" spans="1:7" x14ac:dyDescent="0.25">
      <c r="A195" s="109"/>
      <c r="B195" s="5" t="s">
        <v>28</v>
      </c>
      <c r="C195" s="9">
        <f>SUM(C186:C190)*12</f>
        <v>5681.8330751815865</v>
      </c>
      <c r="D195" s="9">
        <f>SUM(D186:D189)*12</f>
        <v>5681.8330751815865</v>
      </c>
      <c r="E195" s="9">
        <f>SUM(E186:E190)*12</f>
        <v>5161.4853582968808</v>
      </c>
      <c r="F195" s="9">
        <f>SUM(F186:F189)*12+F190</f>
        <v>7261.8790402591449</v>
      </c>
      <c r="G195" s="10">
        <f>SUM(G186:G189)*12+G190</f>
        <v>7261.8790402591449</v>
      </c>
    </row>
    <row r="196" spans="1:7" x14ac:dyDescent="0.25">
      <c r="A196" s="109"/>
      <c r="B196" s="5" t="s">
        <v>15</v>
      </c>
      <c r="C196" s="9"/>
      <c r="D196" s="9"/>
      <c r="E196" s="9">
        <v>0</v>
      </c>
      <c r="F196" s="9"/>
      <c r="G196" s="10"/>
    </row>
    <row r="197" spans="1:7" x14ac:dyDescent="0.25">
      <c r="A197" s="109"/>
      <c r="B197" s="5" t="s">
        <v>14</v>
      </c>
      <c r="C197" s="9">
        <f>-C195*0.455</f>
        <v>-2585.2340492076219</v>
      </c>
      <c r="D197" s="9">
        <f>-D186*12*0.7*0.455</f>
        <v>-2416.3145052077434</v>
      </c>
      <c r="E197" s="9">
        <f>-E195*0.455</f>
        <v>-2348.475838025081</v>
      </c>
      <c r="F197" s="9">
        <f>-F186*12*0.455/2</f>
        <v>-2330.0175585931806</v>
      </c>
      <c r="G197" s="10">
        <f>-(G195+G193)*0.45</f>
        <v>-690.13306811661516</v>
      </c>
    </row>
    <row r="198" spans="1:7" s="40" customFormat="1" x14ac:dyDescent="0.25">
      <c r="A198" s="109"/>
      <c r="B198" s="37" t="s">
        <v>16</v>
      </c>
      <c r="C198" s="38">
        <f>SUM(C195:C197)</f>
        <v>3096.5990259739647</v>
      </c>
      <c r="D198" s="38">
        <f>SUM(D195:D197)</f>
        <v>3265.5185699738431</v>
      </c>
      <c r="E198" s="38">
        <f>SUM(E195:E197)</f>
        <v>2813.0095202717998</v>
      </c>
      <c r="F198" s="38">
        <f>SUM(F195:F197)</f>
        <v>4931.8614816659647</v>
      </c>
      <c r="G198" s="39">
        <f>SUM(G195:G197)</f>
        <v>6571.7459721425294</v>
      </c>
    </row>
    <row r="199" spans="1:7" s="40" customFormat="1" ht="15.75" thickBot="1" x14ac:dyDescent="0.3">
      <c r="A199" s="110"/>
      <c r="B199" s="41" t="s">
        <v>69</v>
      </c>
      <c r="C199" s="42">
        <f>C198/($D$4*1.025-$C$138)</f>
        <v>1.8073461926470601E-2</v>
      </c>
      <c r="D199" s="42">
        <f t="shared" ref="D199" si="57">D198/($D$4*1.025-$C$138)</f>
        <v>1.9059369666384825E-2</v>
      </c>
      <c r="E199" s="42">
        <f t="shared" ref="E199" si="58">E198/($D$4*1.025-$C$138)</f>
        <v>1.6418276966757388E-2</v>
      </c>
      <c r="F199" s="42">
        <f>F198/($D$4*1.025+$F$9-$F$154)</f>
        <v>2.6698397518830509E-2</v>
      </c>
      <c r="G199" s="43">
        <f>G198/($D$4*1.025+$F$9-$F$154)</f>
        <v>3.5575834197550581E-2</v>
      </c>
    </row>
    <row r="200" spans="1:7" x14ac:dyDescent="0.25">
      <c r="A200" s="108" t="s">
        <v>47</v>
      </c>
      <c r="B200" s="3" t="s">
        <v>6</v>
      </c>
      <c r="C200" s="9">
        <f>C185*1.01</f>
        <v>766.24102048973964</v>
      </c>
      <c r="D200" s="9">
        <f>D185*1.01</f>
        <v>766.24102048973964</v>
      </c>
      <c r="E200" s="9">
        <f>E185*1.01</f>
        <v>706.51929389274505</v>
      </c>
      <c r="F200" s="9">
        <f>F185*1.01</f>
        <v>957.80127561217444</v>
      </c>
      <c r="G200" s="10">
        <f>G185*1.01</f>
        <v>957.80127561217444</v>
      </c>
    </row>
    <row r="201" spans="1:7" x14ac:dyDescent="0.25">
      <c r="A201" s="109"/>
      <c r="B201" s="5" t="s">
        <v>55</v>
      </c>
      <c r="C201" s="9">
        <f>C200</f>
        <v>766.24102048973964</v>
      </c>
      <c r="D201" s="9">
        <f t="shared" ref="D201" si="59">D200</f>
        <v>766.24102048973964</v>
      </c>
      <c r="E201" s="9">
        <f t="shared" ref="E201" si="60">E200</f>
        <v>706.51929389274505</v>
      </c>
      <c r="F201" s="27">
        <f>F200*0.9</f>
        <v>862.02114805095698</v>
      </c>
      <c r="G201" s="28">
        <f>G200*0.9</f>
        <v>862.02114805095698</v>
      </c>
    </row>
    <row r="202" spans="1:7" x14ac:dyDescent="0.25">
      <c r="A202" s="109"/>
      <c r="B202" s="5" t="s">
        <v>8</v>
      </c>
      <c r="C202" s="6">
        <f>-C201*0.12</f>
        <v>-91.948922458768749</v>
      </c>
      <c r="D202" s="6">
        <f t="shared" ref="D202" si="61">-D201*0.12</f>
        <v>-91.948922458768749</v>
      </c>
      <c r="E202" s="6">
        <f t="shared" ref="E202" si="62">-E201*0.12</f>
        <v>-84.782315267129405</v>
      </c>
      <c r="F202" s="7">
        <f>-F201*0.175</f>
        <v>-150.85370090891746</v>
      </c>
      <c r="G202" s="7">
        <f>-G201*0.175</f>
        <v>-150.85370090891746</v>
      </c>
    </row>
    <row r="203" spans="1:7" x14ac:dyDescent="0.25">
      <c r="A203" s="109"/>
      <c r="B203" s="5" t="s">
        <v>9</v>
      </c>
      <c r="C203" s="6">
        <f>-C200*0.03</f>
        <v>-22.987230614692187</v>
      </c>
      <c r="D203" s="6">
        <f>-D200*0.03</f>
        <v>-22.987230614692187</v>
      </c>
      <c r="E203" s="6">
        <f>C203</f>
        <v>-22.987230614692187</v>
      </c>
      <c r="F203" s="6">
        <f>C203</f>
        <v>-22.987230614692187</v>
      </c>
      <c r="G203" s="7">
        <f>C203</f>
        <v>-22.987230614692187</v>
      </c>
    </row>
    <row r="204" spans="1:7" x14ac:dyDescent="0.25">
      <c r="A204" s="109"/>
      <c r="B204" s="5" t="s">
        <v>21</v>
      </c>
      <c r="C204" s="6">
        <f>C189*1.01</f>
        <v>-60.701900583333334</v>
      </c>
      <c r="D204" s="6">
        <f>D189*1.01</f>
        <v>-60.701900583333334</v>
      </c>
      <c r="E204" s="6">
        <f t="shared" ref="E204:G204" si="63">E189*1.01</f>
        <v>-60.701900583333334</v>
      </c>
      <c r="F204" s="6">
        <f t="shared" si="63"/>
        <v>-60.701900583333334</v>
      </c>
      <c r="G204" s="7">
        <f t="shared" si="63"/>
        <v>-60.701900583333334</v>
      </c>
    </row>
    <row r="205" spans="1:7" x14ac:dyDescent="0.25">
      <c r="A205" s="109"/>
      <c r="B205" s="5" t="s">
        <v>37</v>
      </c>
      <c r="C205" s="11"/>
      <c r="D205" s="11"/>
      <c r="E205" s="11"/>
      <c r="F205" s="6">
        <f>G205</f>
        <v>-195.24196066643049</v>
      </c>
      <c r="G205" s="7">
        <f>G190*1.01</f>
        <v>-195.24196066643049</v>
      </c>
    </row>
    <row r="206" spans="1:7" x14ac:dyDescent="0.25">
      <c r="A206" s="109"/>
      <c r="B206" s="5" t="s">
        <v>13</v>
      </c>
      <c r="C206" s="6"/>
      <c r="D206" s="6"/>
      <c r="E206" s="6"/>
      <c r="F206" s="6"/>
      <c r="G206" s="7">
        <f>-($D$4*0.033*0.85-$G$154*0.2)</f>
        <v>-5728.25</v>
      </c>
    </row>
    <row r="207" spans="1:7" x14ac:dyDescent="0.25">
      <c r="A207" s="109"/>
      <c r="B207" s="5" t="s">
        <v>39</v>
      </c>
      <c r="C207" s="6"/>
      <c r="D207" s="6"/>
      <c r="E207" s="6"/>
      <c r="F207" s="6"/>
      <c r="G207" s="7">
        <f>G194</f>
        <v>0</v>
      </c>
    </row>
    <row r="208" spans="1:7" x14ac:dyDescent="0.25">
      <c r="A208" s="109"/>
      <c r="B208" s="8" t="s">
        <v>17</v>
      </c>
      <c r="C208" s="6"/>
      <c r="D208" s="6"/>
      <c r="E208" s="6"/>
      <c r="F208" s="6"/>
      <c r="G208" s="7">
        <f>MAX(-(G201+G202+G203+G204)*12-G205, (G206+G207))</f>
        <v>-5728.25</v>
      </c>
    </row>
    <row r="209" spans="1:7" x14ac:dyDescent="0.25">
      <c r="A209" s="109"/>
      <c r="B209" s="8" t="s">
        <v>18</v>
      </c>
      <c r="C209" s="6"/>
      <c r="D209" s="6"/>
      <c r="E209" s="6"/>
      <c r="F209" s="6"/>
      <c r="G209" s="7">
        <f>G206+G207-G208</f>
        <v>0</v>
      </c>
    </row>
    <row r="210" spans="1:7" x14ac:dyDescent="0.25">
      <c r="A210" s="109"/>
      <c r="B210" s="5" t="s">
        <v>28</v>
      </c>
      <c r="C210" s="9">
        <f>SUM(C201:C205)*12</f>
        <v>7087.235601995345</v>
      </c>
      <c r="D210" s="9">
        <f>SUM(D201:D204)*12</f>
        <v>7087.235601995345</v>
      </c>
      <c r="E210" s="9">
        <f>SUM(E201:E205)*12</f>
        <v>6456.5741691310814</v>
      </c>
      <c r="F210" s="9">
        <f>SUM(F201:F204)*12+F205</f>
        <v>7334.4978306617368</v>
      </c>
      <c r="G210" s="10">
        <f>SUM(G201:G204)*12+G205</f>
        <v>7334.4978306617368</v>
      </c>
    </row>
    <row r="211" spans="1:7" x14ac:dyDescent="0.25">
      <c r="A211" s="109"/>
      <c r="B211" s="5" t="s">
        <v>15</v>
      </c>
      <c r="C211" s="9"/>
      <c r="D211" s="9"/>
      <c r="E211" s="9">
        <v>0</v>
      </c>
      <c r="F211" s="9"/>
      <c r="G211" s="10"/>
    </row>
    <row r="212" spans="1:7" x14ac:dyDescent="0.25">
      <c r="A212" s="109"/>
      <c r="B212" s="5" t="s">
        <v>14</v>
      </c>
      <c r="C212" s="9">
        <f>-C210*0.455</f>
        <v>-3224.6921989078819</v>
      </c>
      <c r="D212" s="9">
        <f>-D201*12*0.7*0.455</f>
        <v>-2928.5731803117847</v>
      </c>
      <c r="E212" s="9">
        <f>-E210*0.455</f>
        <v>-2937.7412469546421</v>
      </c>
      <c r="F212" s="9">
        <f>-F201*12*0.455/2</f>
        <v>-2353.3177341791124</v>
      </c>
      <c r="G212" s="10">
        <f>-(G210+G208)*0.45</f>
        <v>-722.81152379778155</v>
      </c>
    </row>
    <row r="213" spans="1:7" s="40" customFormat="1" x14ac:dyDescent="0.25">
      <c r="A213" s="109"/>
      <c r="B213" s="37" t="s">
        <v>16</v>
      </c>
      <c r="C213" s="38">
        <f>SUM(C210:C212)</f>
        <v>3862.543403087463</v>
      </c>
      <c r="D213" s="38">
        <f>SUM(D210:D212)</f>
        <v>4158.6624216835608</v>
      </c>
      <c r="E213" s="38">
        <f>SUM(E210:E212)</f>
        <v>3518.8329221764393</v>
      </c>
      <c r="F213" s="38">
        <f>SUM(F210:F212)</f>
        <v>4981.1800964826243</v>
      </c>
      <c r="G213" s="39">
        <f>SUM(G210:G212)</f>
        <v>6611.686306863955</v>
      </c>
    </row>
    <row r="214" spans="1:7" s="40" customFormat="1" ht="15.75" thickBot="1" x14ac:dyDescent="0.3">
      <c r="A214" s="110"/>
      <c r="B214" s="41" t="s">
        <v>69</v>
      </c>
      <c r="C214" s="42">
        <f>C213/($D$4*1.025-$C$138)</f>
        <v>2.2543936282833538E-2</v>
      </c>
      <c r="D214" s="42">
        <f t="shared" ref="D214" si="64">D213/($D$4*1.025-$C$138)</f>
        <v>2.4272250398871566E-2</v>
      </c>
      <c r="E214" s="42">
        <f t="shared" ref="E214" si="65">E213/($D$4*1.025-$C$138)</f>
        <v>2.0537852111661124E-2</v>
      </c>
      <c r="F214" s="42">
        <f>F213/($D$4*1.025+$F$9-$F$154)</f>
        <v>2.6965381494018812E-2</v>
      </c>
      <c r="G214" s="43">
        <f>G213/($D$4*1.025+$F$9-$F$154)</f>
        <v>3.5792049299574809E-2</v>
      </c>
    </row>
    <row r="215" spans="1:7" x14ac:dyDescent="0.25">
      <c r="A215" s="108" t="s">
        <v>48</v>
      </c>
      <c r="B215" s="3" t="s">
        <v>6</v>
      </c>
      <c r="C215" s="4">
        <f>C200*1.01</f>
        <v>773.903430694637</v>
      </c>
      <c r="D215" s="4">
        <f>D200*1.01</f>
        <v>773.903430694637</v>
      </c>
      <c r="E215" s="4">
        <f>E200*1.01</f>
        <v>713.58448683167251</v>
      </c>
      <c r="F215" s="4">
        <f>F200*1.01</f>
        <v>967.37928836829622</v>
      </c>
      <c r="G215" s="10">
        <f>G200*1.01</f>
        <v>967.37928836829622</v>
      </c>
    </row>
    <row r="216" spans="1:7" x14ac:dyDescent="0.25">
      <c r="A216" s="109"/>
      <c r="B216" s="5" t="s">
        <v>55</v>
      </c>
      <c r="C216" s="9">
        <f>C215</f>
        <v>773.903430694637</v>
      </c>
      <c r="D216" s="9">
        <f t="shared" ref="D216" si="66">D215</f>
        <v>773.903430694637</v>
      </c>
      <c r="E216" s="9">
        <f t="shared" ref="E216" si="67">E215</f>
        <v>713.58448683167251</v>
      </c>
      <c r="F216" s="27">
        <f>F215*0.9</f>
        <v>870.64135953146661</v>
      </c>
      <c r="G216" s="28">
        <f>G215*0.9</f>
        <v>870.64135953146661</v>
      </c>
    </row>
    <row r="217" spans="1:7" x14ac:dyDescent="0.25">
      <c r="A217" s="109"/>
      <c r="B217" s="5" t="s">
        <v>8</v>
      </c>
      <c r="C217" s="6">
        <f>-C216*0.12</f>
        <v>-92.868411683356442</v>
      </c>
      <c r="D217" s="6">
        <f t="shared" ref="D217" si="68">-D216*0.12</f>
        <v>-92.868411683356442</v>
      </c>
      <c r="E217" s="6">
        <f t="shared" ref="E217" si="69">-E216*0.12</f>
        <v>-85.630138419800701</v>
      </c>
      <c r="F217" s="7">
        <f>-F216*0.175</f>
        <v>-152.36223791800666</v>
      </c>
      <c r="G217" s="7">
        <f>-G216*0.175</f>
        <v>-152.36223791800666</v>
      </c>
    </row>
    <row r="218" spans="1:7" x14ac:dyDescent="0.25">
      <c r="A218" s="109"/>
      <c r="B218" s="5" t="s">
        <v>9</v>
      </c>
      <c r="C218" s="6">
        <f>-C215*0.03</f>
        <v>-23.21710292083911</v>
      </c>
      <c r="D218" s="6">
        <f>-D215*0.03</f>
        <v>-23.21710292083911</v>
      </c>
      <c r="E218" s="6">
        <f>C218</f>
        <v>-23.21710292083911</v>
      </c>
      <c r="F218" s="6">
        <f>C218</f>
        <v>-23.21710292083911</v>
      </c>
      <c r="G218" s="7">
        <f>C218</f>
        <v>-23.21710292083911</v>
      </c>
    </row>
    <row r="219" spans="1:7" x14ac:dyDescent="0.25">
      <c r="A219" s="109"/>
      <c r="B219" s="5" t="s">
        <v>21</v>
      </c>
      <c r="C219" s="6">
        <f>C204*1.01</f>
        <v>-61.308919589166671</v>
      </c>
      <c r="D219" s="6">
        <f>D204*1.01</f>
        <v>-61.308919589166671</v>
      </c>
      <c r="E219" s="6">
        <f t="shared" ref="E219:G219" si="70">E204*1.01</f>
        <v>-61.308919589166671</v>
      </c>
      <c r="F219" s="6">
        <f t="shared" si="70"/>
        <v>-61.308919589166671</v>
      </c>
      <c r="G219" s="7">
        <f t="shared" si="70"/>
        <v>-61.308919589166671</v>
      </c>
    </row>
    <row r="220" spans="1:7" x14ac:dyDescent="0.25">
      <c r="A220" s="109"/>
      <c r="B220" s="5" t="s">
        <v>37</v>
      </c>
      <c r="C220" s="11"/>
      <c r="D220" s="11"/>
      <c r="E220" s="11"/>
      <c r="F220" s="6">
        <f>G220</f>
        <v>-197.19438027309479</v>
      </c>
      <c r="G220" s="7">
        <f>G205*1.01</f>
        <v>-197.19438027309479</v>
      </c>
    </row>
    <row r="221" spans="1:7" x14ac:dyDescent="0.25">
      <c r="A221" s="109"/>
      <c r="B221" s="5" t="s">
        <v>13</v>
      </c>
      <c r="C221" s="6"/>
      <c r="D221" s="6"/>
      <c r="E221" s="6"/>
      <c r="F221" s="6"/>
      <c r="G221" s="7">
        <f>-($D$4*0.033*0.85-$G$154*0.2)</f>
        <v>-5728.25</v>
      </c>
    </row>
    <row r="222" spans="1:7" x14ac:dyDescent="0.25">
      <c r="A222" s="109"/>
      <c r="B222" s="5" t="s">
        <v>39</v>
      </c>
      <c r="C222" s="6"/>
      <c r="D222" s="6"/>
      <c r="E222" s="6"/>
      <c r="F222" s="6"/>
      <c r="G222" s="7">
        <f>G209</f>
        <v>0</v>
      </c>
    </row>
    <row r="223" spans="1:7" x14ac:dyDescent="0.25">
      <c r="A223" s="109"/>
      <c r="B223" s="8" t="s">
        <v>17</v>
      </c>
      <c r="C223" s="6"/>
      <c r="D223" s="6"/>
      <c r="E223" s="6"/>
      <c r="F223" s="6"/>
      <c r="G223" s="7">
        <f>MAX(-(G216+G217+G218+G219)*12-G220, (G221+G222))</f>
        <v>-5728.25</v>
      </c>
    </row>
    <row r="224" spans="1:7" x14ac:dyDescent="0.25">
      <c r="A224" s="109"/>
      <c r="B224" s="8" t="s">
        <v>18</v>
      </c>
      <c r="C224" s="6"/>
      <c r="D224" s="6"/>
      <c r="E224" s="6"/>
      <c r="F224" s="6"/>
      <c r="G224" s="7">
        <f>G221+G222-G223</f>
        <v>0</v>
      </c>
    </row>
    <row r="225" spans="1:7" x14ac:dyDescent="0.25">
      <c r="A225" s="109"/>
      <c r="B225" s="5" t="s">
        <v>28</v>
      </c>
      <c r="C225" s="9">
        <f>SUM(C216:C220)*12</f>
        <v>7158.1079580152982</v>
      </c>
      <c r="D225" s="9">
        <f>SUM(D216:D219)*12</f>
        <v>7158.1079580152982</v>
      </c>
      <c r="E225" s="9">
        <f>SUM(E216:E220)*12</f>
        <v>6521.1399108223923</v>
      </c>
      <c r="F225" s="9">
        <f>SUM(F216:F219)*12+F220</f>
        <v>7407.8428089683548</v>
      </c>
      <c r="G225" s="10">
        <f>SUM(G216:G219)*12+G220</f>
        <v>7407.8428089683548</v>
      </c>
    </row>
    <row r="226" spans="1:7" x14ac:dyDescent="0.25">
      <c r="A226" s="109"/>
      <c r="B226" s="5" t="s">
        <v>15</v>
      </c>
      <c r="C226" s="9"/>
      <c r="D226" s="9"/>
      <c r="E226" s="9">
        <v>0</v>
      </c>
      <c r="F226" s="9"/>
      <c r="G226" s="10"/>
    </row>
    <row r="227" spans="1:7" x14ac:dyDescent="0.25">
      <c r="A227" s="109"/>
      <c r="B227" s="5" t="s">
        <v>14</v>
      </c>
      <c r="C227" s="9">
        <f>-C225*0.455</f>
        <v>-3256.939120896961</v>
      </c>
      <c r="D227" s="9">
        <f>-D216*12*0.7*0.455</f>
        <v>-2957.8589121149025</v>
      </c>
      <c r="E227" s="9">
        <f>-E225*0.455</f>
        <v>-2967.1186594241885</v>
      </c>
      <c r="F227" s="9">
        <f>-F216*12*0.455/2</f>
        <v>-2376.850911520904</v>
      </c>
      <c r="G227" s="10">
        <f>-(G225+G223)*0.45</f>
        <v>-755.81676403575966</v>
      </c>
    </row>
    <row r="228" spans="1:7" s="40" customFormat="1" x14ac:dyDescent="0.25">
      <c r="A228" s="109"/>
      <c r="B228" s="37" t="s">
        <v>16</v>
      </c>
      <c r="C228" s="38">
        <f>SUM(C225:C227)</f>
        <v>3901.1688371183373</v>
      </c>
      <c r="D228" s="38">
        <f>SUM(D225:D227)</f>
        <v>4200.2490459003957</v>
      </c>
      <c r="E228" s="38">
        <f>SUM(E225:E227)</f>
        <v>3554.0212513982037</v>
      </c>
      <c r="F228" s="38">
        <f>SUM(F225:F227)</f>
        <v>5030.9918974474513</v>
      </c>
      <c r="G228" s="39">
        <f>SUM(G225:G227)</f>
        <v>6652.0260449325951</v>
      </c>
    </row>
    <row r="229" spans="1:7" s="40" customFormat="1" ht="15.75" thickBot="1" x14ac:dyDescent="0.3">
      <c r="A229" s="110"/>
      <c r="B229" s="41" t="s">
        <v>69</v>
      </c>
      <c r="C229" s="42">
        <f>C228/($D$4*1.025-$C$138)</f>
        <v>2.2769375645661869E-2</v>
      </c>
      <c r="D229" s="42">
        <f t="shared" ref="D229" si="71">D228/($D$4*1.025-$C$138)</f>
        <v>2.4514972902860279E-2</v>
      </c>
      <c r="E229" s="42">
        <f t="shared" ref="E229" si="72">E228/($D$4*1.025-$C$138)</f>
        <v>2.0743230632777734E-2</v>
      </c>
      <c r="F229" s="42">
        <f>F228/($D$4*1.025+$F$9-$F$154)</f>
        <v>2.7235035308959005E-2</v>
      </c>
      <c r="G229" s="43">
        <f>G228/($D$4*1.025+$F$9-$F$154)</f>
        <v>3.6010426552619275E-2</v>
      </c>
    </row>
    <row r="230" spans="1:7" x14ac:dyDescent="0.25">
      <c r="A230" s="114" t="s">
        <v>49</v>
      </c>
      <c r="B230" s="3" t="s">
        <v>6</v>
      </c>
      <c r="C230" s="9">
        <f>C215*1.01</f>
        <v>781.64246500158333</v>
      </c>
      <c r="D230" s="9">
        <f>D215*1.01</f>
        <v>781.64246500158333</v>
      </c>
      <c r="E230" s="9">
        <f>E215*1.01</f>
        <v>720.72033169998929</v>
      </c>
      <c r="F230" s="9">
        <f>F215*1.01</f>
        <v>977.05308125197917</v>
      </c>
      <c r="G230" s="10">
        <f>G215*1.01</f>
        <v>977.05308125197917</v>
      </c>
    </row>
    <row r="231" spans="1:7" x14ac:dyDescent="0.25">
      <c r="A231" s="115"/>
      <c r="B231" s="5" t="s">
        <v>55</v>
      </c>
      <c r="C231" s="9">
        <f>C230*10/12</f>
        <v>651.36872083465278</v>
      </c>
      <c r="D231" s="9">
        <f t="shared" ref="D231" si="73">D230*10/12</f>
        <v>651.36872083465278</v>
      </c>
      <c r="E231" s="9">
        <f t="shared" ref="E231" si="74">E230*10/12</f>
        <v>600.60027641665772</v>
      </c>
      <c r="F231" s="27">
        <f>F230*0.9</f>
        <v>879.34777312678125</v>
      </c>
      <c r="G231" s="28">
        <f>G230*0.9</f>
        <v>879.34777312678125</v>
      </c>
    </row>
    <row r="232" spans="1:7" x14ac:dyDescent="0.25">
      <c r="A232" s="115"/>
      <c r="B232" s="5" t="s">
        <v>8</v>
      </c>
      <c r="C232" s="6">
        <f>-C231*0.12</f>
        <v>-78.164246500158328</v>
      </c>
      <c r="D232" s="6">
        <f t="shared" ref="D232" si="75">-D231*0.12</f>
        <v>-78.164246500158328</v>
      </c>
      <c r="E232" s="6">
        <f t="shared" ref="E232" si="76">-E231*0.12</f>
        <v>-72.072033169998917</v>
      </c>
      <c r="F232" s="7">
        <f>-F231*0.175</f>
        <v>-153.8858602971867</v>
      </c>
      <c r="G232" s="7">
        <f>-G231*0.175</f>
        <v>-153.8858602971867</v>
      </c>
    </row>
    <row r="233" spans="1:7" x14ac:dyDescent="0.25">
      <c r="A233" s="115"/>
      <c r="B233" s="5" t="s">
        <v>9</v>
      </c>
      <c r="C233" s="6">
        <f>-C230*0.03</f>
        <v>-23.449273950047498</v>
      </c>
      <c r="D233" s="6">
        <f>-D230*0.03</f>
        <v>-23.449273950047498</v>
      </c>
      <c r="E233" s="6">
        <f>C233</f>
        <v>-23.449273950047498</v>
      </c>
      <c r="F233" s="6">
        <f>C233</f>
        <v>-23.449273950047498</v>
      </c>
      <c r="G233" s="7">
        <f>C233</f>
        <v>-23.449273950047498</v>
      </c>
    </row>
    <row r="234" spans="1:7" x14ac:dyDescent="0.25">
      <c r="A234" s="115"/>
      <c r="B234" s="5" t="s">
        <v>21</v>
      </c>
      <c r="C234" s="6">
        <f>C219*1.01</f>
        <v>-61.922008785058338</v>
      </c>
      <c r="D234" s="6">
        <f>D219*1.01</f>
        <v>-61.922008785058338</v>
      </c>
      <c r="E234" s="6">
        <f t="shared" ref="E234:G234" si="77">E219*1.01</f>
        <v>-61.922008785058338</v>
      </c>
      <c r="F234" s="6">
        <f t="shared" si="77"/>
        <v>-61.922008785058338</v>
      </c>
      <c r="G234" s="7">
        <f t="shared" si="77"/>
        <v>-61.922008785058338</v>
      </c>
    </row>
    <row r="235" spans="1:7" x14ac:dyDescent="0.25">
      <c r="A235" s="115"/>
      <c r="B235" s="5" t="s">
        <v>37</v>
      </c>
      <c r="C235" s="11"/>
      <c r="D235" s="11"/>
      <c r="E235" s="11"/>
      <c r="F235" s="6">
        <f>G235</f>
        <v>-199.16632407582574</v>
      </c>
      <c r="G235" s="7">
        <f>G220*1.01</f>
        <v>-199.16632407582574</v>
      </c>
    </row>
    <row r="236" spans="1:7" x14ac:dyDescent="0.25">
      <c r="A236" s="115"/>
      <c r="B236" s="5" t="s">
        <v>13</v>
      </c>
      <c r="C236" s="6"/>
      <c r="D236" s="6"/>
      <c r="E236" s="6"/>
      <c r="F236" s="6"/>
      <c r="G236" s="7">
        <f>-($D$4*0.033*0.85-$G$154*0.2)</f>
        <v>-5728.25</v>
      </c>
    </row>
    <row r="237" spans="1:7" x14ac:dyDescent="0.25">
      <c r="A237" s="115"/>
      <c r="B237" s="5" t="s">
        <v>39</v>
      </c>
      <c r="C237" s="6"/>
      <c r="D237" s="6"/>
      <c r="E237" s="6"/>
      <c r="F237" s="6"/>
      <c r="G237" s="7">
        <f>G224</f>
        <v>0</v>
      </c>
    </row>
    <row r="238" spans="1:7" x14ac:dyDescent="0.25">
      <c r="A238" s="115"/>
      <c r="B238" s="8" t="s">
        <v>17</v>
      </c>
      <c r="C238" s="6"/>
      <c r="D238" s="6"/>
      <c r="E238" s="6"/>
      <c r="F238" s="6"/>
      <c r="G238" s="7">
        <f>MAX(-(G231+G232+G233+G234)*12-G235, (G236+G237))</f>
        <v>-5728.25</v>
      </c>
    </row>
    <row r="239" spans="1:7" x14ac:dyDescent="0.25">
      <c r="A239" s="115"/>
      <c r="B239" s="8" t="s">
        <v>18</v>
      </c>
      <c r="C239" s="6"/>
      <c r="D239" s="6"/>
      <c r="E239" s="6"/>
      <c r="F239" s="6"/>
      <c r="G239" s="7">
        <f>G236+G237-G238</f>
        <v>0</v>
      </c>
    </row>
    <row r="240" spans="1:7" x14ac:dyDescent="0.25">
      <c r="A240" s="115"/>
      <c r="B240" s="5" t="s">
        <v>28</v>
      </c>
      <c r="C240" s="9">
        <f>SUM(C231:C235)*12</f>
        <v>5853.9982991926627</v>
      </c>
      <c r="D240" s="9">
        <f>SUM(D231:D234)*12</f>
        <v>5853.9982991926627</v>
      </c>
      <c r="E240" s="9">
        <f>SUM(E231:E235)*12</f>
        <v>5317.8835261386357</v>
      </c>
      <c r="F240" s="9">
        <f>SUM(F231:F234)*12+F235</f>
        <v>7481.921237058039</v>
      </c>
      <c r="G240" s="10">
        <f>SUM(G231:G234)*12+G235</f>
        <v>7481.921237058039</v>
      </c>
    </row>
    <row r="241" spans="1:7" x14ac:dyDescent="0.25">
      <c r="A241" s="115"/>
      <c r="B241" s="5" t="s">
        <v>15</v>
      </c>
      <c r="C241" s="9"/>
      <c r="D241" s="9"/>
      <c r="E241" s="9">
        <v>0</v>
      </c>
      <c r="F241" s="9"/>
      <c r="G241" s="10"/>
    </row>
    <row r="242" spans="1:7" x14ac:dyDescent="0.25">
      <c r="A242" s="115"/>
      <c r="B242" s="5" t="s">
        <v>14</v>
      </c>
      <c r="C242" s="9">
        <f>-C240*0.455</f>
        <v>-2663.5692261326617</v>
      </c>
      <c r="D242" s="9">
        <f>-D231*12*0.7*0.455</f>
        <v>-2489.5312510300432</v>
      </c>
      <c r="E242" s="9">
        <f>-E240*0.455</f>
        <v>-2419.6370043930792</v>
      </c>
      <c r="F242" s="9">
        <f>-F231*12*0.455/2</f>
        <v>-2400.6194206361129</v>
      </c>
      <c r="G242" s="10">
        <f>-(G240+G238)*0.45</f>
        <v>-789.15205667611758</v>
      </c>
    </row>
    <row r="243" spans="1:7" s="40" customFormat="1" x14ac:dyDescent="0.25">
      <c r="A243" s="115"/>
      <c r="B243" s="37" t="s">
        <v>16</v>
      </c>
      <c r="C243" s="38">
        <f>SUM(C240:C242)</f>
        <v>3190.429073060001</v>
      </c>
      <c r="D243" s="38">
        <f>SUM(D240:D242)</f>
        <v>3364.4670481626194</v>
      </c>
      <c r="E243" s="38">
        <f>SUM(E240:E242)</f>
        <v>2898.2465217455565</v>
      </c>
      <c r="F243" s="38">
        <f>SUM(F240:F242)</f>
        <v>5081.3018164219266</v>
      </c>
      <c r="G243" s="39">
        <f>SUM(G240:G242)</f>
        <v>6692.7691803819216</v>
      </c>
    </row>
    <row r="244" spans="1:7" s="40" customFormat="1" ht="15.75" thickBot="1" x14ac:dyDescent="0.3">
      <c r="A244" s="120"/>
      <c r="B244" s="41" t="s">
        <v>69</v>
      </c>
      <c r="C244" s="42">
        <f>C243/($D$4*1.025-$C$138)</f>
        <v>1.8621105896304582E-2</v>
      </c>
      <c r="D244" s="42">
        <f t="shared" ref="D244" si="78">D243/($D$4*1.025-$C$138)</f>
        <v>1.9636887626645946E-2</v>
      </c>
      <c r="E244" s="42">
        <f t="shared" ref="E244" si="79">E243/($D$4*1.025-$C$138)</f>
        <v>1.691576717712711E-2</v>
      </c>
      <c r="F244" s="42">
        <f>F243/($D$4*1.025+$F$9-$F$154)</f>
        <v>2.7507385662048599E-2</v>
      </c>
      <c r="G244" s="43">
        <f>G243/($D$4*1.025+$F$9-$F$154)</f>
        <v>3.6230987578194193E-2</v>
      </c>
    </row>
    <row r="245" spans="1:7" s="40" customFormat="1" x14ac:dyDescent="0.25">
      <c r="A245" s="111" t="s">
        <v>65</v>
      </c>
      <c r="B245" s="44" t="s">
        <v>51</v>
      </c>
      <c r="C245" s="45">
        <f>C243+C228+C213+C198+C183+C168+C152+C136+C121+C106+C91+C76+C61+C46+C31</f>
        <v>51068.666423347939</v>
      </c>
      <c r="D245" s="45">
        <f>D243+D228+D213+D198+D183+D168+D152+D136+D121+D106+D91+D76+D61+D46+D31</f>
        <v>54216.128855029412</v>
      </c>
      <c r="E245" s="45">
        <f>E243+E228+E213+E198+E183+E168+E152+E136+E121+E106+E91+E76+E61+E46+E31</f>
        <v>76134.195715781549</v>
      </c>
      <c r="F245" s="45">
        <f>F243+F228+F213+F198+F183+F168+F152+F136+F121+F106+F91+F76+F61+F46+F31</f>
        <v>71793.393994849495</v>
      </c>
      <c r="G245" s="46">
        <f>G243+G228+G213+G198+G183+G168+G152+G136+G121+G106+G91+G76+G61+G46+G31</f>
        <v>99719.079506990063</v>
      </c>
    </row>
    <row r="246" spans="1:7" s="40" customFormat="1" x14ac:dyDescent="0.25">
      <c r="A246" s="112"/>
      <c r="B246" s="47" t="s">
        <v>52</v>
      </c>
      <c r="C246" s="48">
        <f>C245/($D$4*1.025)/15</f>
        <v>2.0130541088286946E-2</v>
      </c>
      <c r="D246" s="48">
        <f t="shared" ref="D246:E246" si="80">D245/($D$4*1.025)/15</f>
        <v>2.1371225959114826E-2</v>
      </c>
      <c r="E246" s="48">
        <f t="shared" si="80"/>
        <v>3.0011015803215201E-2</v>
      </c>
      <c r="F246" s="48">
        <f>F245/($D$4*1.025+$F$9-$F$154)/15</f>
        <v>2.5910008208544055E-2</v>
      </c>
      <c r="G246" s="48">
        <f>G245/($D$4*1.025+$F$9-$F$154)/15</f>
        <v>3.5988299546890451E-2</v>
      </c>
    </row>
    <row r="247" spans="1:7" s="40" customFormat="1" ht="15.75" thickBot="1" x14ac:dyDescent="0.3">
      <c r="A247" s="113"/>
      <c r="B247" s="49" t="s">
        <v>56</v>
      </c>
      <c r="C247" s="50"/>
      <c r="D247" s="50"/>
      <c r="E247" s="50"/>
      <c r="F247" s="51"/>
      <c r="G247" s="52"/>
    </row>
    <row r="249" spans="1:7" x14ac:dyDescent="0.25">
      <c r="A249" s="31" t="s">
        <v>62</v>
      </c>
      <c r="B249" s="32" t="s">
        <v>87</v>
      </c>
      <c r="C249" s="32"/>
      <c r="D249" s="32"/>
      <c r="E249" s="32"/>
      <c r="F249" s="31"/>
      <c r="G249" s="32">
        <f>D4/2</f>
        <v>82500</v>
      </c>
    </row>
    <row r="250" spans="1:7" x14ac:dyDescent="0.25">
      <c r="A250" s="32" t="s">
        <v>64</v>
      </c>
      <c r="B250" s="32"/>
      <c r="C250" s="32"/>
      <c r="D250" s="32"/>
      <c r="E250" s="32"/>
      <c r="F250" s="31"/>
      <c r="G250" s="31"/>
    </row>
    <row r="251" spans="1:7" x14ac:dyDescent="0.25">
      <c r="A251" s="31" t="s">
        <v>63</v>
      </c>
      <c r="B251" s="32"/>
      <c r="C251" s="32"/>
      <c r="D251" s="32"/>
      <c r="E251" s="32"/>
      <c r="F251" s="31"/>
      <c r="G251" s="32">
        <f>G249*0.455</f>
        <v>37537.5</v>
      </c>
    </row>
  </sheetData>
  <mergeCells count="16">
    <mergeCell ref="A245:A247"/>
    <mergeCell ref="A93:A107"/>
    <mergeCell ref="A155:A169"/>
    <mergeCell ref="A108:A122"/>
    <mergeCell ref="A123:A137"/>
    <mergeCell ref="A138:A153"/>
    <mergeCell ref="A200:A214"/>
    <mergeCell ref="A215:A229"/>
    <mergeCell ref="A230:A244"/>
    <mergeCell ref="A185:A199"/>
    <mergeCell ref="A170:A184"/>
    <mergeCell ref="A18:A32"/>
    <mergeCell ref="A33:A47"/>
    <mergeCell ref="A48:A62"/>
    <mergeCell ref="A63:A77"/>
    <mergeCell ref="A78:A92"/>
  </mergeCells>
  <pageMargins left="0.70866141732283472" right="0.70866141732283472" top="0.74803149606299213" bottom="0.74803149606299213" header="0.31496062992125984" footer="0.31496062992125984"/>
  <pageSetup paperSize="9" scale="98" fitToHeight="0" orientation="portrait" verticalDpi="300" r:id="rId1"/>
  <headerFooter>
    <oddFooter>&amp;CComparatif formules locatives  versus Primhome</oddFooter>
  </headerFooter>
  <rowBreaks count="5" manualBreakCount="5">
    <brk id="47" max="16383" man="1"/>
    <brk id="92" max="16383" man="1"/>
    <brk id="137" max="16383" man="1"/>
    <brk id="184" max="16383" man="1"/>
    <brk id="2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analyse comparatif PH graphique</vt:lpstr>
      <vt:lpstr>details calculs comparatif PH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2015-03-04T14:48:12Z</dcterms:modified>
</cp:coreProperties>
</file>